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ksl\Desktop\Lokal\Veröffentlichungen\2006_MetalSens_Wirtschaftlichkeitsanalyse\30_Excelltabellen\"/>
    </mc:Choice>
  </mc:AlternateContent>
  <bookViews>
    <workbookView xWindow="0" yWindow="0" windowWidth="28800" windowHeight="12300" tabRatio="903" activeTab="1"/>
  </bookViews>
  <sheets>
    <sheet name="Erklärung" sheetId="37" r:id="rId1"/>
    <sheet name="Gesamtgewinn" sheetId="23" r:id="rId2"/>
    <sheet name="Annahmen" sheetId="19" r:id="rId3"/>
    <sheet name="Prozessberechnung" sheetId="36" r:id="rId4"/>
    <sheet name="Investitionskosten" sheetId="16" r:id="rId5"/>
    <sheet name="Betriebs- &amp; Wartungskosten" sheetId="12" r:id="rId6"/>
    <sheet name="Gesamtkosten" sheetId="24" r:id="rId7"/>
    <sheet name="Einnahmen" sheetId="14" r:id="rId8"/>
    <sheet name="Ökologische Betrachtung" sheetId="40" r:id="rId9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3" i="19" l="1"/>
  <c r="G70" i="19"/>
  <c r="C33" i="40" l="1"/>
  <c r="J36" i="40"/>
  <c r="J35" i="40"/>
  <c r="J34" i="40"/>
  <c r="J33" i="40"/>
  <c r="L33" i="40" s="1"/>
  <c r="K37" i="40"/>
  <c r="K36" i="40"/>
  <c r="K35" i="40"/>
  <c r="K34" i="40"/>
  <c r="K33" i="40"/>
  <c r="K38" i="40" s="1"/>
  <c r="D38" i="40"/>
  <c r="C36" i="40"/>
  <c r="C35" i="40"/>
  <c r="C34" i="40"/>
  <c r="C37" i="40" l="1"/>
  <c r="C38" i="40" s="1"/>
  <c r="E39" i="40" s="1"/>
  <c r="L36" i="40"/>
  <c r="L35" i="40"/>
  <c r="L34" i="40"/>
  <c r="J37" i="40"/>
  <c r="J38" i="40" s="1"/>
  <c r="L39" i="40" s="1"/>
  <c r="D9" i="40"/>
  <c r="C21" i="40"/>
  <c r="J21" i="40"/>
  <c r="L10" i="40"/>
  <c r="L13" i="40"/>
  <c r="L9" i="40"/>
  <c r="J9" i="40"/>
  <c r="K9" i="40"/>
  <c r="J10" i="40"/>
  <c r="K10" i="40"/>
  <c r="J11" i="40"/>
  <c r="K11" i="40"/>
  <c r="J12" i="40"/>
  <c r="K12" i="40"/>
  <c r="K13" i="40"/>
  <c r="J13" i="40"/>
  <c r="N48" i="12"/>
  <c r="N51" i="12"/>
  <c r="N47" i="12"/>
  <c r="D48" i="12"/>
  <c r="D51" i="12"/>
  <c r="D47" i="12"/>
  <c r="E10" i="40"/>
  <c r="E13" i="40"/>
  <c r="E9" i="40"/>
  <c r="D10" i="40"/>
  <c r="D11" i="40"/>
  <c r="D12" i="40"/>
  <c r="D13" i="40"/>
  <c r="C9" i="40"/>
  <c r="C10" i="40"/>
  <c r="C11" i="40"/>
  <c r="C12" i="40"/>
  <c r="C13" i="40"/>
  <c r="S29" i="12"/>
  <c r="S32" i="12"/>
  <c r="S28" i="12"/>
  <c r="R28" i="12"/>
  <c r="O40" i="12"/>
  <c r="K7" i="24"/>
  <c r="O47" i="12"/>
  <c r="M47" i="12"/>
  <c r="C47" i="12"/>
  <c r="N59" i="12"/>
  <c r="M59" i="12"/>
  <c r="O59" i="12" s="1"/>
  <c r="O60" i="12" s="1"/>
  <c r="P12" i="12" s="1"/>
  <c r="V11" i="36"/>
  <c r="V12" i="36"/>
  <c r="V13" i="36"/>
  <c r="V14" i="36" s="1"/>
  <c r="V10" i="36"/>
  <c r="X23" i="36"/>
  <c r="Y23" i="36"/>
  <c r="Z23" i="36"/>
  <c r="AA23" i="36"/>
  <c r="AB23" i="36"/>
  <c r="AC23" i="36"/>
  <c r="AD23" i="36"/>
  <c r="AE23" i="36"/>
  <c r="X24" i="36"/>
  <c r="Y24" i="36"/>
  <c r="Z24" i="36"/>
  <c r="AA24" i="36"/>
  <c r="AB24" i="36"/>
  <c r="AC24" i="36"/>
  <c r="AD24" i="36"/>
  <c r="AE24" i="36"/>
  <c r="X25" i="36"/>
  <c r="Y25" i="36"/>
  <c r="Z25" i="36"/>
  <c r="AA25" i="36"/>
  <c r="AB25" i="36"/>
  <c r="AC25" i="36"/>
  <c r="AD25" i="36"/>
  <c r="AE25" i="36"/>
  <c r="X26" i="36"/>
  <c r="Y26" i="36"/>
  <c r="Z26" i="36"/>
  <c r="AA26" i="36"/>
  <c r="AB26" i="36"/>
  <c r="AC26" i="36"/>
  <c r="AD26" i="36"/>
  <c r="AE26" i="36"/>
  <c r="X27" i="36"/>
  <c r="Y27" i="36"/>
  <c r="Z27" i="36"/>
  <c r="AA27" i="36"/>
  <c r="AB27" i="36"/>
  <c r="AC27" i="36"/>
  <c r="AD27" i="36"/>
  <c r="AE27" i="36"/>
  <c r="X28" i="36"/>
  <c r="Y28" i="36"/>
  <c r="Z28" i="36"/>
  <c r="AA28" i="36"/>
  <c r="AB28" i="36"/>
  <c r="AC28" i="36"/>
  <c r="AD28" i="36"/>
  <c r="AE28" i="36"/>
  <c r="X29" i="36"/>
  <c r="Y29" i="36"/>
  <c r="Z29" i="36"/>
  <c r="AA29" i="36"/>
  <c r="AB29" i="36"/>
  <c r="AC29" i="36"/>
  <c r="AD29" i="36"/>
  <c r="AE29" i="36"/>
  <c r="X30" i="36"/>
  <c r="Y30" i="36"/>
  <c r="Z30" i="36"/>
  <c r="AA30" i="36"/>
  <c r="AB30" i="36"/>
  <c r="AC30" i="36"/>
  <c r="AD30" i="36"/>
  <c r="AE30" i="36"/>
  <c r="X31" i="36"/>
  <c r="Y31" i="36"/>
  <c r="Z31" i="36"/>
  <c r="AA31" i="36"/>
  <c r="AB31" i="36"/>
  <c r="AC31" i="36"/>
  <c r="AD31" i="36"/>
  <c r="AE31" i="36"/>
  <c r="X32" i="36"/>
  <c r="Y32" i="36"/>
  <c r="Z32" i="36"/>
  <c r="AA32" i="36"/>
  <c r="AB32" i="36"/>
  <c r="AC32" i="36"/>
  <c r="AD32" i="36"/>
  <c r="AE32" i="36"/>
  <c r="X33" i="36"/>
  <c r="Y33" i="36"/>
  <c r="Z33" i="36"/>
  <c r="AA33" i="36"/>
  <c r="AB33" i="36"/>
  <c r="AC33" i="36"/>
  <c r="AD33" i="36"/>
  <c r="AE33" i="36"/>
  <c r="X34" i="36"/>
  <c r="Y34" i="36"/>
  <c r="Z34" i="36"/>
  <c r="AA34" i="36"/>
  <c r="AB34" i="36"/>
  <c r="AC34" i="36"/>
  <c r="AD34" i="36"/>
  <c r="AE34" i="36"/>
  <c r="X35" i="36"/>
  <c r="Y35" i="36"/>
  <c r="Z35" i="36"/>
  <c r="AA35" i="36"/>
  <c r="AB35" i="36"/>
  <c r="AC35" i="36"/>
  <c r="AD35" i="36"/>
  <c r="AE35" i="36"/>
  <c r="X36" i="36"/>
  <c r="Y36" i="36"/>
  <c r="Z36" i="36"/>
  <c r="AA36" i="36"/>
  <c r="AB36" i="36"/>
  <c r="AC36" i="36"/>
  <c r="AD36" i="36"/>
  <c r="AE36" i="36"/>
  <c r="Y22" i="36"/>
  <c r="Z22" i="36"/>
  <c r="AA22" i="36"/>
  <c r="AB22" i="36"/>
  <c r="AC22" i="36"/>
  <c r="AD22" i="36"/>
  <c r="AE22" i="36"/>
  <c r="X22" i="36"/>
  <c r="V23" i="36"/>
  <c r="W23" i="36"/>
  <c r="V24" i="36"/>
  <c r="V44" i="36" s="1"/>
  <c r="W24" i="36"/>
  <c r="V25" i="36"/>
  <c r="W25" i="36"/>
  <c r="V26" i="36"/>
  <c r="W26" i="36"/>
  <c r="V27" i="36"/>
  <c r="W27" i="36"/>
  <c r="V28" i="36"/>
  <c r="V48" i="36" s="1"/>
  <c r="W28" i="36"/>
  <c r="V29" i="36"/>
  <c r="W29" i="36"/>
  <c r="V30" i="36"/>
  <c r="V50" i="36" s="1"/>
  <c r="V90" i="36" s="1"/>
  <c r="W30" i="36"/>
  <c r="V31" i="36"/>
  <c r="V51" i="36" s="1"/>
  <c r="V91" i="36" s="1"/>
  <c r="W31" i="36"/>
  <c r="V32" i="36"/>
  <c r="W32" i="36"/>
  <c r="V33" i="36"/>
  <c r="W33" i="36"/>
  <c r="V34" i="36"/>
  <c r="W34" i="36"/>
  <c r="V35" i="36"/>
  <c r="W35" i="36"/>
  <c r="V36" i="36"/>
  <c r="W36" i="36"/>
  <c r="V53" i="36"/>
  <c r="V93" i="36" s="1"/>
  <c r="W22" i="36"/>
  <c r="V22" i="36"/>
  <c r="AB93" i="36"/>
  <c r="Z93" i="36"/>
  <c r="X93" i="36"/>
  <c r="AB92" i="36"/>
  <c r="Z92" i="36"/>
  <c r="X92" i="36"/>
  <c r="AB91" i="36"/>
  <c r="Z91" i="36"/>
  <c r="X91" i="36"/>
  <c r="AB90" i="36"/>
  <c r="Z90" i="36"/>
  <c r="X90" i="36"/>
  <c r="AB88" i="36"/>
  <c r="Z88" i="36"/>
  <c r="X88" i="36"/>
  <c r="AB87" i="36"/>
  <c r="Z87" i="36"/>
  <c r="X87" i="36"/>
  <c r="AB86" i="36"/>
  <c r="Z86" i="36"/>
  <c r="X86" i="36"/>
  <c r="AB85" i="36"/>
  <c r="Z85" i="36"/>
  <c r="X85" i="36"/>
  <c r="AB84" i="36"/>
  <c r="Z84" i="36"/>
  <c r="X84" i="36"/>
  <c r="AB83" i="36"/>
  <c r="Z83" i="36"/>
  <c r="X83" i="36"/>
  <c r="AB82" i="36"/>
  <c r="Z82" i="36"/>
  <c r="X82" i="36"/>
  <c r="L93" i="36"/>
  <c r="J93" i="36"/>
  <c r="H93" i="36"/>
  <c r="L92" i="36"/>
  <c r="J92" i="36"/>
  <c r="H92" i="36"/>
  <c r="L91" i="36"/>
  <c r="J91" i="36"/>
  <c r="H91" i="36"/>
  <c r="L90" i="36"/>
  <c r="J90" i="36"/>
  <c r="H90" i="36"/>
  <c r="L88" i="36"/>
  <c r="J88" i="36"/>
  <c r="H88" i="36"/>
  <c r="L87" i="36"/>
  <c r="J87" i="36"/>
  <c r="H87" i="36"/>
  <c r="L86" i="36"/>
  <c r="J86" i="36"/>
  <c r="H86" i="36"/>
  <c r="L85" i="36"/>
  <c r="J85" i="36"/>
  <c r="H85" i="36"/>
  <c r="L84" i="36"/>
  <c r="J84" i="36"/>
  <c r="H84" i="36"/>
  <c r="L83" i="36"/>
  <c r="J83" i="36"/>
  <c r="H83" i="36"/>
  <c r="L82" i="36"/>
  <c r="J82" i="36"/>
  <c r="H82" i="36"/>
  <c r="F10" i="36"/>
  <c r="F11" i="36"/>
  <c r="F12" i="36"/>
  <c r="F13" i="36"/>
  <c r="V55" i="36"/>
  <c r="V95" i="36" s="1"/>
  <c r="V42" i="36"/>
  <c r="V82" i="36" s="1"/>
  <c r="W47" i="36"/>
  <c r="W87" i="36" s="1"/>
  <c r="W45" i="36"/>
  <c r="W85" i="36" s="1"/>
  <c r="P29" i="12"/>
  <c r="P30" i="12"/>
  <c r="P31" i="12"/>
  <c r="P32" i="12"/>
  <c r="Q32" i="12"/>
  <c r="P28" i="12"/>
  <c r="Q28" i="12" s="1"/>
  <c r="O29" i="12"/>
  <c r="O30" i="12"/>
  <c r="O31" i="12"/>
  <c r="O32" i="12"/>
  <c r="O28" i="12"/>
  <c r="N29" i="12"/>
  <c r="N30" i="12"/>
  <c r="N31" i="12"/>
  <c r="N32" i="12"/>
  <c r="N28" i="12"/>
  <c r="M29" i="12"/>
  <c r="M30" i="12"/>
  <c r="M31" i="12"/>
  <c r="M32" i="12"/>
  <c r="M28" i="12"/>
  <c r="O20" i="12"/>
  <c r="N21" i="12"/>
  <c r="N20" i="12"/>
  <c r="I27" i="16"/>
  <c r="I28" i="16" s="1"/>
  <c r="J10" i="16" s="1"/>
  <c r="I18" i="16"/>
  <c r="I19" i="16"/>
  <c r="I20" i="16"/>
  <c r="I17" i="16"/>
  <c r="F106" i="19"/>
  <c r="C59" i="12"/>
  <c r="D59" i="12"/>
  <c r="C20" i="16"/>
  <c r="C27" i="16"/>
  <c r="C17" i="16"/>
  <c r="C18" i="16"/>
  <c r="C19" i="16"/>
  <c r="L37" i="40" l="1"/>
  <c r="F10" i="40"/>
  <c r="F13" i="40"/>
  <c r="F9" i="40"/>
  <c r="D33" i="40" s="1"/>
  <c r="E33" i="40" s="1"/>
  <c r="D21" i="40"/>
  <c r="M9" i="40"/>
  <c r="K21" i="40" s="1"/>
  <c r="M10" i="40"/>
  <c r="K22" i="40" s="1"/>
  <c r="M13" i="40"/>
  <c r="K25" i="40" s="1"/>
  <c r="P47" i="12"/>
  <c r="V84" i="36"/>
  <c r="V88" i="36"/>
  <c r="W52" i="36"/>
  <c r="W43" i="36"/>
  <c r="F14" i="36"/>
  <c r="X54" i="36"/>
  <c r="Z55" i="36"/>
  <c r="X49" i="36"/>
  <c r="AB56" i="36"/>
  <c r="W51" i="36"/>
  <c r="Z56" i="36"/>
  <c r="Z54" i="36"/>
  <c r="V37" i="36"/>
  <c r="V54" i="36"/>
  <c r="W42" i="36"/>
  <c r="W44" i="36"/>
  <c r="W48" i="36"/>
  <c r="V45" i="36"/>
  <c r="W46" i="36"/>
  <c r="W50" i="36"/>
  <c r="AB54" i="36"/>
  <c r="V47" i="36"/>
  <c r="Z49" i="36"/>
  <c r="W53" i="36"/>
  <c r="V49" i="36"/>
  <c r="V56" i="36"/>
  <c r="AB55" i="36"/>
  <c r="AB49" i="36"/>
  <c r="Y45" i="36"/>
  <c r="Y47" i="36"/>
  <c r="W54" i="36"/>
  <c r="W55" i="36"/>
  <c r="W56" i="36"/>
  <c r="V46" i="36"/>
  <c r="W49" i="36"/>
  <c r="V43" i="36"/>
  <c r="V52" i="36"/>
  <c r="M33" i="12"/>
  <c r="P51" i="12"/>
  <c r="I21" i="16"/>
  <c r="J9" i="16" s="1"/>
  <c r="J11" i="16" s="1"/>
  <c r="E59" i="12"/>
  <c r="E60" i="12" s="1"/>
  <c r="F12" i="12" s="1"/>
  <c r="D25" i="40" l="1"/>
  <c r="D37" i="40"/>
  <c r="E37" i="40" s="1"/>
  <c r="D22" i="40"/>
  <c r="D34" i="40"/>
  <c r="E34" i="40" s="1"/>
  <c r="Y87" i="36"/>
  <c r="W89" i="36"/>
  <c r="Y85" i="36"/>
  <c r="AB94" i="36"/>
  <c r="AB74" i="36"/>
  <c r="V94" i="36"/>
  <c r="V86" i="36"/>
  <c r="W96" i="36"/>
  <c r="AB95" i="36"/>
  <c r="Z96" i="36"/>
  <c r="W92" i="36"/>
  <c r="W95" i="36"/>
  <c r="W75" i="36"/>
  <c r="V96" i="36"/>
  <c r="V85" i="36"/>
  <c r="V87" i="36"/>
  <c r="Z94" i="36"/>
  <c r="W94" i="36"/>
  <c r="V89" i="36"/>
  <c r="V69" i="36"/>
  <c r="AB96" i="36"/>
  <c r="AB76" i="36"/>
  <c r="X94" i="36"/>
  <c r="AB89" i="36"/>
  <c r="W83" i="36"/>
  <c r="Y52" i="36"/>
  <c r="W73" i="36"/>
  <c r="X89" i="36"/>
  <c r="V83" i="36"/>
  <c r="V63" i="36"/>
  <c r="V92" i="36"/>
  <c r="V72" i="36"/>
  <c r="Y43" i="36"/>
  <c r="Z89" i="36"/>
  <c r="Z95" i="36"/>
  <c r="Z75" i="36"/>
  <c r="Y51" i="36"/>
  <c r="W91" i="36"/>
  <c r="Y48" i="36"/>
  <c r="W88" i="36"/>
  <c r="Y53" i="36"/>
  <c r="W93" i="36"/>
  <c r="Y44" i="36"/>
  <c r="W84" i="36"/>
  <c r="Y50" i="36"/>
  <c r="W90" i="36"/>
  <c r="Y46" i="36"/>
  <c r="W86" i="36"/>
  <c r="Y42" i="36"/>
  <c r="W82" i="36"/>
  <c r="Z57" i="36"/>
  <c r="W57" i="36"/>
  <c r="W70" i="36" s="1"/>
  <c r="AB57" i="36"/>
  <c r="Y49" i="36"/>
  <c r="AA48" i="36"/>
  <c r="Y55" i="36"/>
  <c r="V57" i="36"/>
  <c r="V66" i="36" s="1"/>
  <c r="AA47" i="36"/>
  <c r="Y56" i="36"/>
  <c r="Y54" i="36"/>
  <c r="AA43" i="36"/>
  <c r="AA45" i="36"/>
  <c r="Y83" i="36" l="1"/>
  <c r="I9" i="14" s="1"/>
  <c r="I12" i="14" s="1"/>
  <c r="Y89" i="36"/>
  <c r="Y92" i="36"/>
  <c r="V67" i="36"/>
  <c r="W76" i="36"/>
  <c r="Y88" i="36"/>
  <c r="Y96" i="36"/>
  <c r="Y76" i="36"/>
  <c r="AB64" i="36"/>
  <c r="AB62" i="36"/>
  <c r="AB67" i="36"/>
  <c r="AB65" i="36"/>
  <c r="AB71" i="36"/>
  <c r="AB66" i="36"/>
  <c r="AB68" i="36"/>
  <c r="AB73" i="36"/>
  <c r="AB63" i="36"/>
  <c r="AB70" i="36"/>
  <c r="AB72" i="36"/>
  <c r="Y90" i="36"/>
  <c r="Y71" i="36"/>
  <c r="W63" i="36"/>
  <c r="W68" i="36"/>
  <c r="W72" i="36"/>
  <c r="AA83" i="36"/>
  <c r="Q29" i="12"/>
  <c r="W67" i="36"/>
  <c r="W65" i="36"/>
  <c r="Z62" i="36"/>
  <c r="Z63" i="36"/>
  <c r="Z64" i="36"/>
  <c r="Z65" i="36"/>
  <c r="Z66" i="36"/>
  <c r="Z67" i="36"/>
  <c r="Z68" i="36"/>
  <c r="Z70" i="36"/>
  <c r="Z71" i="36"/>
  <c r="Z72" i="36"/>
  <c r="Z73" i="36"/>
  <c r="Y84" i="36"/>
  <c r="AB69" i="36"/>
  <c r="V65" i="36"/>
  <c r="Z76" i="36"/>
  <c r="W69" i="36"/>
  <c r="V71" i="36"/>
  <c r="V64" i="36"/>
  <c r="V70" i="36"/>
  <c r="V62" i="36"/>
  <c r="V68" i="36"/>
  <c r="V73" i="36"/>
  <c r="V75" i="36"/>
  <c r="W62" i="36"/>
  <c r="W74" i="36"/>
  <c r="AA88" i="36"/>
  <c r="AA87" i="36"/>
  <c r="W71" i="36"/>
  <c r="AA50" i="36"/>
  <c r="Y93" i="36"/>
  <c r="Y73" i="36"/>
  <c r="V76" i="36"/>
  <c r="W66" i="36"/>
  <c r="V74" i="36"/>
  <c r="Y86" i="36"/>
  <c r="Y94" i="36"/>
  <c r="Y74" i="36"/>
  <c r="AA52" i="36"/>
  <c r="AC52" i="36" s="1"/>
  <c r="Y62" i="36"/>
  <c r="Z69" i="36"/>
  <c r="AA85" i="36"/>
  <c r="Y95" i="36"/>
  <c r="Y75" i="36"/>
  <c r="W64" i="36"/>
  <c r="Z74" i="36"/>
  <c r="AB75" i="36"/>
  <c r="AA44" i="36"/>
  <c r="AA46" i="36"/>
  <c r="AA53" i="36"/>
  <c r="AA51" i="36"/>
  <c r="Y91" i="36"/>
  <c r="AA42" i="36"/>
  <c r="Y82" i="36"/>
  <c r="I8" i="14" s="1"/>
  <c r="AC44" i="36"/>
  <c r="AC50" i="36"/>
  <c r="AC43" i="36"/>
  <c r="AC48" i="36"/>
  <c r="AC45" i="36"/>
  <c r="AC47" i="36"/>
  <c r="AA55" i="36"/>
  <c r="AC46" i="36"/>
  <c r="AA54" i="36"/>
  <c r="AA56" i="36"/>
  <c r="AA49" i="36"/>
  <c r="Y57" i="36"/>
  <c r="Y63" i="36" s="1"/>
  <c r="I11" i="14" l="1"/>
  <c r="I10" i="14" s="1"/>
  <c r="I7" i="14"/>
  <c r="AC92" i="36"/>
  <c r="AA96" i="36"/>
  <c r="AA86" i="36"/>
  <c r="Y64" i="36"/>
  <c r="P48" i="12"/>
  <c r="AA94" i="36"/>
  <c r="AC90" i="36"/>
  <c r="AA84" i="36"/>
  <c r="Y72" i="36"/>
  <c r="AA89" i="36"/>
  <c r="AC86" i="36"/>
  <c r="AC84" i="36"/>
  <c r="AA95" i="36"/>
  <c r="AA75" i="36"/>
  <c r="AA92" i="36"/>
  <c r="Y69" i="36"/>
  <c r="AA93" i="36"/>
  <c r="AC87" i="36"/>
  <c r="AC83" i="36"/>
  <c r="Y68" i="36"/>
  <c r="AC85" i="36"/>
  <c r="AA90" i="36"/>
  <c r="Q30" i="12"/>
  <c r="Y67" i="36"/>
  <c r="Y65" i="36"/>
  <c r="AC88" i="36"/>
  <c r="AA71" i="36"/>
  <c r="Y66" i="36"/>
  <c r="Y70" i="36"/>
  <c r="AC53" i="36"/>
  <c r="AA91" i="36"/>
  <c r="AC51" i="36"/>
  <c r="AA82" i="36"/>
  <c r="AC42" i="36"/>
  <c r="AC54" i="36"/>
  <c r="AA57" i="36"/>
  <c r="AA64" i="36" s="1"/>
  <c r="AC56" i="36"/>
  <c r="AC49" i="36"/>
  <c r="AC55" i="36"/>
  <c r="N49" i="12" l="1"/>
  <c r="P49" i="12" s="1"/>
  <c r="S30" i="12"/>
  <c r="L11" i="40"/>
  <c r="M11" i="40" s="1"/>
  <c r="AC96" i="36"/>
  <c r="I17" i="14" s="1"/>
  <c r="I22" i="14" s="1"/>
  <c r="AA70" i="36"/>
  <c r="Q31" i="12"/>
  <c r="AA65" i="36"/>
  <c r="AA67" i="36"/>
  <c r="AA68" i="36"/>
  <c r="AA63" i="36"/>
  <c r="AA66" i="36"/>
  <c r="AC89" i="36"/>
  <c r="I14" i="14" s="1"/>
  <c r="AA73" i="36"/>
  <c r="AC93" i="36"/>
  <c r="AC82" i="36"/>
  <c r="AA76" i="36"/>
  <c r="AA62" i="36"/>
  <c r="AA74" i="36"/>
  <c r="AA69" i="36"/>
  <c r="AC94" i="36"/>
  <c r="I15" i="14" s="1"/>
  <c r="I20" i="14" s="1"/>
  <c r="AC91" i="36"/>
  <c r="AA72" i="36"/>
  <c r="AC95" i="36"/>
  <c r="I16" i="14" s="1"/>
  <c r="I21" i="14" s="1"/>
  <c r="AC57" i="36"/>
  <c r="AC69" i="36" s="1"/>
  <c r="N50" i="12" l="1"/>
  <c r="S31" i="12"/>
  <c r="L12" i="40"/>
  <c r="M12" i="40" s="1"/>
  <c r="K24" i="40" s="1"/>
  <c r="K23" i="40"/>
  <c r="M14" i="40"/>
  <c r="M15" i="40" s="1"/>
  <c r="N52" i="12"/>
  <c r="P50" i="12"/>
  <c r="I13" i="14"/>
  <c r="M40" i="12" s="1"/>
  <c r="N40" i="12" s="1"/>
  <c r="P40" i="12" s="1"/>
  <c r="I19" i="14"/>
  <c r="I18" i="14" s="1"/>
  <c r="I23" i="14" s="1"/>
  <c r="I24" i="14" s="1"/>
  <c r="K8" i="23" s="1"/>
  <c r="AC73" i="36"/>
  <c r="AC76" i="36"/>
  <c r="AC74" i="36"/>
  <c r="AC63" i="36"/>
  <c r="AC72" i="36"/>
  <c r="AC66" i="36"/>
  <c r="AC68" i="36"/>
  <c r="AC70" i="36"/>
  <c r="AC65" i="36"/>
  <c r="AC64" i="36"/>
  <c r="AC67" i="36"/>
  <c r="AC75" i="36"/>
  <c r="AC71" i="36"/>
  <c r="AC62" i="36"/>
  <c r="V15" i="36"/>
  <c r="V16" i="36" s="1"/>
  <c r="M21" i="12" s="1"/>
  <c r="M22" i="12" s="1"/>
  <c r="K26" i="40" l="1"/>
  <c r="K27" i="40" s="1"/>
  <c r="N11" i="12"/>
  <c r="M41" i="12"/>
  <c r="F29" i="12" l="1"/>
  <c r="F30" i="12"/>
  <c r="F31" i="12"/>
  <c r="F32" i="12"/>
  <c r="G32" i="12" s="1"/>
  <c r="F28" i="12"/>
  <c r="E29" i="12"/>
  <c r="E30" i="12"/>
  <c r="E31" i="12"/>
  <c r="E32" i="12"/>
  <c r="E28" i="12"/>
  <c r="D29" i="12"/>
  <c r="D30" i="12"/>
  <c r="D31" i="12"/>
  <c r="D32" i="12"/>
  <c r="D28" i="12"/>
  <c r="C29" i="12"/>
  <c r="C30" i="12"/>
  <c r="C31" i="12"/>
  <c r="C32" i="12"/>
  <c r="C28" i="12"/>
  <c r="E40" i="12"/>
  <c r="D21" i="12"/>
  <c r="D20" i="12"/>
  <c r="F23" i="36" l="1"/>
  <c r="G23" i="36"/>
  <c r="H23" i="36"/>
  <c r="I23" i="36"/>
  <c r="J23" i="36"/>
  <c r="K23" i="36"/>
  <c r="L23" i="36"/>
  <c r="M23" i="36"/>
  <c r="N23" i="36"/>
  <c r="O23" i="36"/>
  <c r="F24" i="36"/>
  <c r="H24" i="36"/>
  <c r="I24" i="36"/>
  <c r="J24" i="36"/>
  <c r="K24" i="36"/>
  <c r="L24" i="36"/>
  <c r="M24" i="36"/>
  <c r="N24" i="36"/>
  <c r="O24" i="36"/>
  <c r="F25" i="36"/>
  <c r="G25" i="36"/>
  <c r="H25" i="36"/>
  <c r="I25" i="36"/>
  <c r="J25" i="36"/>
  <c r="K25" i="36"/>
  <c r="L25" i="36"/>
  <c r="M25" i="36"/>
  <c r="N25" i="36"/>
  <c r="O25" i="36"/>
  <c r="F26" i="36"/>
  <c r="G26" i="36"/>
  <c r="H26" i="36"/>
  <c r="I26" i="36"/>
  <c r="J26" i="36"/>
  <c r="K26" i="36"/>
  <c r="L26" i="36"/>
  <c r="M26" i="36"/>
  <c r="N26" i="36"/>
  <c r="O26" i="36"/>
  <c r="F27" i="36"/>
  <c r="G27" i="36"/>
  <c r="H27" i="36"/>
  <c r="I27" i="36"/>
  <c r="J27" i="36"/>
  <c r="K27" i="36"/>
  <c r="L27" i="36"/>
  <c r="M27" i="36"/>
  <c r="N27" i="36"/>
  <c r="O27" i="36"/>
  <c r="F28" i="36"/>
  <c r="G28" i="36"/>
  <c r="H28" i="36"/>
  <c r="I28" i="36"/>
  <c r="J28" i="36"/>
  <c r="K28" i="36"/>
  <c r="L28" i="36"/>
  <c r="M28" i="36"/>
  <c r="N28" i="36"/>
  <c r="O28" i="36"/>
  <c r="F29" i="36"/>
  <c r="G29" i="36"/>
  <c r="H29" i="36"/>
  <c r="I29" i="36"/>
  <c r="J29" i="36"/>
  <c r="K29" i="36"/>
  <c r="L29" i="36"/>
  <c r="M29" i="36"/>
  <c r="N29" i="36"/>
  <c r="O29" i="36"/>
  <c r="F30" i="36"/>
  <c r="G30" i="36"/>
  <c r="H30" i="36"/>
  <c r="I30" i="36"/>
  <c r="J30" i="36"/>
  <c r="K30" i="36"/>
  <c r="L30" i="36"/>
  <c r="M30" i="36"/>
  <c r="N30" i="36"/>
  <c r="O30" i="36"/>
  <c r="F31" i="36"/>
  <c r="G31" i="36"/>
  <c r="H31" i="36"/>
  <c r="I31" i="36"/>
  <c r="J31" i="36"/>
  <c r="K31" i="36"/>
  <c r="L31" i="36"/>
  <c r="M31" i="36"/>
  <c r="N31" i="36"/>
  <c r="O31" i="36"/>
  <c r="F32" i="36"/>
  <c r="G32" i="36"/>
  <c r="H32" i="36"/>
  <c r="I32" i="36"/>
  <c r="J32" i="36"/>
  <c r="K32" i="36"/>
  <c r="L32" i="36"/>
  <c r="M32" i="36"/>
  <c r="N32" i="36"/>
  <c r="O32" i="36"/>
  <c r="F33" i="36"/>
  <c r="G33" i="36"/>
  <c r="H33" i="36"/>
  <c r="I33" i="36"/>
  <c r="J33" i="36"/>
  <c r="K33" i="36"/>
  <c r="L33" i="36"/>
  <c r="M33" i="36"/>
  <c r="N33" i="36"/>
  <c r="O33" i="36"/>
  <c r="F34" i="36"/>
  <c r="G34" i="36"/>
  <c r="H34" i="36"/>
  <c r="I34" i="36"/>
  <c r="J34" i="36"/>
  <c r="K34" i="36"/>
  <c r="L34" i="36"/>
  <c r="M34" i="36"/>
  <c r="N34" i="36"/>
  <c r="O34" i="36"/>
  <c r="F35" i="36"/>
  <c r="X55" i="36" s="1"/>
  <c r="G35" i="36"/>
  <c r="H35" i="36"/>
  <c r="I35" i="36"/>
  <c r="J35" i="36"/>
  <c r="K35" i="36"/>
  <c r="L35" i="36"/>
  <c r="N35" i="36"/>
  <c r="O35" i="36"/>
  <c r="F36" i="36"/>
  <c r="X56" i="36" s="1"/>
  <c r="G36" i="36"/>
  <c r="H36" i="36"/>
  <c r="I36" i="36"/>
  <c r="J36" i="36"/>
  <c r="K36" i="36"/>
  <c r="L36" i="36"/>
  <c r="M36" i="36"/>
  <c r="N36" i="36"/>
  <c r="O36" i="36"/>
  <c r="G22" i="36"/>
  <c r="H22" i="36"/>
  <c r="I22" i="36"/>
  <c r="J22" i="36"/>
  <c r="K22" i="36"/>
  <c r="L22" i="36"/>
  <c r="M22" i="36"/>
  <c r="N22" i="36"/>
  <c r="O22" i="36"/>
  <c r="F22" i="36"/>
  <c r="X95" i="36" l="1"/>
  <c r="X96" i="36"/>
  <c r="X57" i="36"/>
  <c r="X75" i="36" s="1"/>
  <c r="F37" i="36"/>
  <c r="L56" i="36"/>
  <c r="L96" i="36" s="1"/>
  <c r="J56" i="36"/>
  <c r="J96" i="36" s="1"/>
  <c r="H56" i="36"/>
  <c r="H96" i="36" s="1"/>
  <c r="G56" i="36"/>
  <c r="G96" i="36" s="1"/>
  <c r="F56" i="36"/>
  <c r="F96" i="36" s="1"/>
  <c r="L55" i="36"/>
  <c r="L95" i="36" s="1"/>
  <c r="J55" i="36"/>
  <c r="J95" i="36" s="1"/>
  <c r="H55" i="36"/>
  <c r="H95" i="36" s="1"/>
  <c r="G55" i="36"/>
  <c r="G95" i="36" s="1"/>
  <c r="F55" i="36"/>
  <c r="F95" i="36" s="1"/>
  <c r="L54" i="36"/>
  <c r="L94" i="36" s="1"/>
  <c r="J54" i="36"/>
  <c r="J94" i="36" s="1"/>
  <c r="H54" i="36"/>
  <c r="H94" i="36" s="1"/>
  <c r="G54" i="36"/>
  <c r="G94" i="36" s="1"/>
  <c r="F54" i="36"/>
  <c r="F94" i="36" s="1"/>
  <c r="G53" i="36"/>
  <c r="F53" i="36"/>
  <c r="F93" i="36" s="1"/>
  <c r="G52" i="36"/>
  <c r="G92" i="36" s="1"/>
  <c r="F52" i="36"/>
  <c r="F92" i="36" s="1"/>
  <c r="G51" i="36"/>
  <c r="G91" i="36" s="1"/>
  <c r="F51" i="36"/>
  <c r="F91" i="36" s="1"/>
  <c r="G50" i="36"/>
  <c r="F50" i="36"/>
  <c r="F90" i="36" s="1"/>
  <c r="L49" i="36"/>
  <c r="L89" i="36" s="1"/>
  <c r="J49" i="36"/>
  <c r="J89" i="36" s="1"/>
  <c r="H49" i="36"/>
  <c r="H89" i="36" s="1"/>
  <c r="G49" i="36"/>
  <c r="F49" i="36"/>
  <c r="F89" i="36" s="1"/>
  <c r="G48" i="36"/>
  <c r="F48" i="36"/>
  <c r="F88" i="36" s="1"/>
  <c r="G47" i="36"/>
  <c r="G87" i="36" s="1"/>
  <c r="F47" i="36"/>
  <c r="F87" i="36" s="1"/>
  <c r="G46" i="36"/>
  <c r="F46" i="36"/>
  <c r="F86" i="36" s="1"/>
  <c r="G45" i="36"/>
  <c r="G85" i="36" s="1"/>
  <c r="F45" i="36"/>
  <c r="F85" i="36" s="1"/>
  <c r="G44" i="36"/>
  <c r="F44" i="36"/>
  <c r="F84" i="36" s="1"/>
  <c r="G43" i="36"/>
  <c r="F43" i="36"/>
  <c r="F83" i="36" s="1"/>
  <c r="G42" i="36"/>
  <c r="G82" i="36" s="1"/>
  <c r="F42" i="36"/>
  <c r="F82" i="36" s="1"/>
  <c r="X76" i="36" l="1"/>
  <c r="I53" i="36"/>
  <c r="I93" i="36" s="1"/>
  <c r="G93" i="36"/>
  <c r="I48" i="36"/>
  <c r="I88" i="36" s="1"/>
  <c r="G88" i="36"/>
  <c r="I43" i="36"/>
  <c r="I83" i="36" s="1"/>
  <c r="G83" i="36"/>
  <c r="I44" i="36"/>
  <c r="G84" i="36"/>
  <c r="I46" i="36"/>
  <c r="I86" i="36" s="1"/>
  <c r="G86" i="36"/>
  <c r="X63" i="36"/>
  <c r="X64" i="36"/>
  <c r="X65" i="36"/>
  <c r="X66" i="36"/>
  <c r="X67" i="36"/>
  <c r="X68" i="36"/>
  <c r="X70" i="36"/>
  <c r="X71" i="36"/>
  <c r="X72" i="36"/>
  <c r="X73" i="36"/>
  <c r="X62" i="36"/>
  <c r="X74" i="36"/>
  <c r="X69" i="36"/>
  <c r="I50" i="36"/>
  <c r="I90" i="36" s="1"/>
  <c r="G90" i="36"/>
  <c r="I49" i="36"/>
  <c r="I89" i="36" s="1"/>
  <c r="G89" i="36"/>
  <c r="Z97" i="36"/>
  <c r="Y97" i="36"/>
  <c r="AA97" i="36"/>
  <c r="V97" i="36"/>
  <c r="AC97" i="36"/>
  <c r="AB97" i="36"/>
  <c r="X97" i="36"/>
  <c r="W97" i="36"/>
  <c r="L57" i="36"/>
  <c r="I51" i="36"/>
  <c r="I91" i="36" s="1"/>
  <c r="K48" i="36"/>
  <c r="K88" i="36" s="1"/>
  <c r="G57" i="36"/>
  <c r="G29" i="12" s="1"/>
  <c r="I42" i="36"/>
  <c r="I82" i="36" s="1"/>
  <c r="I52" i="36"/>
  <c r="I92" i="36" s="1"/>
  <c r="I55" i="36"/>
  <c r="I54" i="36"/>
  <c r="H57" i="36"/>
  <c r="I45" i="36"/>
  <c r="I85" i="36" s="1"/>
  <c r="I56" i="36"/>
  <c r="I96" i="36" s="1"/>
  <c r="K46" i="36"/>
  <c r="K86" i="36" s="1"/>
  <c r="K49" i="36"/>
  <c r="K89" i="36" s="1"/>
  <c r="H97" i="36"/>
  <c r="I47" i="36"/>
  <c r="I87" i="36" s="1"/>
  <c r="K50" i="36"/>
  <c r="K90" i="36" s="1"/>
  <c r="F57" i="36"/>
  <c r="K53" i="36"/>
  <c r="K93" i="36" s="1"/>
  <c r="J97" i="36"/>
  <c r="J57" i="36"/>
  <c r="L97" i="36"/>
  <c r="F83" i="19"/>
  <c r="G24" i="36"/>
  <c r="D9" i="14" l="1"/>
  <c r="K43" i="36"/>
  <c r="K83" i="36" s="1"/>
  <c r="K44" i="36"/>
  <c r="I84" i="36"/>
  <c r="K54" i="36"/>
  <c r="K94" i="36" s="1"/>
  <c r="I94" i="36"/>
  <c r="K55" i="36"/>
  <c r="I95" i="36"/>
  <c r="D12" i="14"/>
  <c r="H75" i="36"/>
  <c r="F73" i="36"/>
  <c r="J76" i="36"/>
  <c r="L71" i="36"/>
  <c r="G68" i="36"/>
  <c r="L75" i="36"/>
  <c r="L67" i="36"/>
  <c r="H74" i="36"/>
  <c r="H73" i="36"/>
  <c r="L70" i="36"/>
  <c r="L64" i="36"/>
  <c r="L68" i="36"/>
  <c r="L73" i="36"/>
  <c r="L74" i="36"/>
  <c r="L63" i="36"/>
  <c r="L69" i="36"/>
  <c r="L72" i="36"/>
  <c r="L66" i="36"/>
  <c r="L76" i="36"/>
  <c r="F97" i="36"/>
  <c r="G97" i="36"/>
  <c r="K51" i="36"/>
  <c r="G75" i="36"/>
  <c r="F75" i="36"/>
  <c r="H66" i="36"/>
  <c r="G76" i="36"/>
  <c r="G69" i="36"/>
  <c r="H62" i="36"/>
  <c r="G70" i="36"/>
  <c r="G73" i="36"/>
  <c r="G74" i="36"/>
  <c r="G66" i="36"/>
  <c r="G71" i="36"/>
  <c r="G63" i="36"/>
  <c r="G64" i="36"/>
  <c r="L65" i="36"/>
  <c r="L62" i="36"/>
  <c r="H69" i="36"/>
  <c r="G67" i="36"/>
  <c r="H63" i="36"/>
  <c r="H68" i="36"/>
  <c r="J69" i="36"/>
  <c r="H72" i="36"/>
  <c r="G72" i="36"/>
  <c r="F67" i="36"/>
  <c r="H76" i="36"/>
  <c r="H64" i="36"/>
  <c r="H67" i="36"/>
  <c r="J75" i="36"/>
  <c r="G62" i="36"/>
  <c r="H65" i="36"/>
  <c r="K56" i="36"/>
  <c r="G65" i="36"/>
  <c r="K52" i="36"/>
  <c r="K92" i="36" s="1"/>
  <c r="D8" i="14"/>
  <c r="K42" i="36"/>
  <c r="K82" i="36" s="1"/>
  <c r="F70" i="36"/>
  <c r="K45" i="36"/>
  <c r="K85" i="36" s="1"/>
  <c r="M48" i="36"/>
  <c r="M88" i="36" s="1"/>
  <c r="H71" i="36"/>
  <c r="H70" i="36"/>
  <c r="F71" i="36"/>
  <c r="F65" i="36"/>
  <c r="F68" i="36"/>
  <c r="F62" i="36"/>
  <c r="F72" i="36"/>
  <c r="F63" i="36"/>
  <c r="M46" i="36"/>
  <c r="M86" i="36" s="1"/>
  <c r="K47" i="36"/>
  <c r="K87" i="36" s="1"/>
  <c r="J68" i="36"/>
  <c r="J66" i="36"/>
  <c r="J72" i="36"/>
  <c r="J63" i="36"/>
  <c r="J73" i="36"/>
  <c r="J64" i="36"/>
  <c r="J71" i="36"/>
  <c r="J65" i="36"/>
  <c r="J62" i="36"/>
  <c r="J70" i="36"/>
  <c r="J67" i="36"/>
  <c r="J74" i="36"/>
  <c r="I57" i="36"/>
  <c r="G30" i="12" s="1"/>
  <c r="M54" i="36"/>
  <c r="M94" i="36" s="1"/>
  <c r="F76" i="36"/>
  <c r="M53" i="36"/>
  <c r="M93" i="36" s="1"/>
  <c r="F69" i="36"/>
  <c r="M43" i="36"/>
  <c r="M83" i="36" s="1"/>
  <c r="F74" i="36"/>
  <c r="F66" i="36"/>
  <c r="M50" i="36"/>
  <c r="M90" i="36" s="1"/>
  <c r="M49" i="36"/>
  <c r="M89" i="36" s="1"/>
  <c r="F64" i="36"/>
  <c r="G28" i="12"/>
  <c r="E20" i="12"/>
  <c r="C33" i="12"/>
  <c r="E47" i="12"/>
  <c r="H28" i="12"/>
  <c r="E11" i="40" l="1"/>
  <c r="F11" i="40" s="1"/>
  <c r="D35" i="40" s="1"/>
  <c r="E35" i="40" s="1"/>
  <c r="D49" i="12"/>
  <c r="M51" i="36"/>
  <c r="M91" i="36" s="1"/>
  <c r="K91" i="36"/>
  <c r="M55" i="36"/>
  <c r="M95" i="36" s="1"/>
  <c r="D16" i="14" s="1"/>
  <c r="K95" i="36"/>
  <c r="M56" i="36"/>
  <c r="M96" i="36" s="1"/>
  <c r="D17" i="14" s="1"/>
  <c r="K96" i="36"/>
  <c r="K84" i="36"/>
  <c r="M44" i="36"/>
  <c r="M84" i="36" s="1"/>
  <c r="Z77" i="36"/>
  <c r="AB77" i="36"/>
  <c r="V77" i="36"/>
  <c r="X77" i="36"/>
  <c r="W77" i="36"/>
  <c r="P52" i="12"/>
  <c r="P20" i="12"/>
  <c r="P21" i="12"/>
  <c r="I29" i="12"/>
  <c r="I32" i="12"/>
  <c r="I28" i="12"/>
  <c r="D11" i="14"/>
  <c r="D10" i="14" s="1"/>
  <c r="D7" i="14"/>
  <c r="L77" i="36"/>
  <c r="I97" i="36"/>
  <c r="G77" i="36"/>
  <c r="H77" i="36"/>
  <c r="M42" i="36"/>
  <c r="M82" i="36" s="1"/>
  <c r="M52" i="36"/>
  <c r="M92" i="36" s="1"/>
  <c r="M45" i="36"/>
  <c r="M85" i="36" s="1"/>
  <c r="D14" i="14"/>
  <c r="I72" i="36"/>
  <c r="I66" i="36"/>
  <c r="I70" i="36"/>
  <c r="I75" i="36"/>
  <c r="I64" i="36"/>
  <c r="I68" i="36"/>
  <c r="I71" i="36"/>
  <c r="I73" i="36"/>
  <c r="I76" i="36"/>
  <c r="I63" i="36"/>
  <c r="I62" i="36"/>
  <c r="I65" i="36"/>
  <c r="I74" i="36"/>
  <c r="I69" i="36"/>
  <c r="I67" i="36"/>
  <c r="F77" i="36"/>
  <c r="J77" i="36"/>
  <c r="D15" i="14"/>
  <c r="M47" i="36"/>
  <c r="M87" i="36" s="1"/>
  <c r="K57" i="36"/>
  <c r="G31" i="12" s="1"/>
  <c r="F51" i="12"/>
  <c r="E12" i="40" l="1"/>
  <c r="F12" i="40" s="1"/>
  <c r="F14" i="40" s="1"/>
  <c r="F15" i="40" s="1"/>
  <c r="D50" i="12"/>
  <c r="D52" i="12"/>
  <c r="D23" i="40"/>
  <c r="P22" i="12"/>
  <c r="N9" i="12" s="1"/>
  <c r="Y77" i="36"/>
  <c r="F15" i="36"/>
  <c r="F16" i="36" s="1"/>
  <c r="K67" i="36"/>
  <c r="P53" i="12"/>
  <c r="O33" i="12"/>
  <c r="R34" i="12" s="1"/>
  <c r="N10" i="12" s="1"/>
  <c r="F47" i="12"/>
  <c r="I30" i="12"/>
  <c r="K97" i="36"/>
  <c r="M57" i="36"/>
  <c r="M97" i="36"/>
  <c r="I77" i="36"/>
  <c r="K64" i="36"/>
  <c r="K62" i="36"/>
  <c r="K68" i="36"/>
  <c r="K65" i="36"/>
  <c r="K75" i="36"/>
  <c r="K72" i="36"/>
  <c r="K66" i="36"/>
  <c r="K73" i="36"/>
  <c r="K74" i="36"/>
  <c r="K69" i="36"/>
  <c r="K71" i="36"/>
  <c r="K70" i="36"/>
  <c r="K63" i="36"/>
  <c r="K76" i="36"/>
  <c r="F48" i="12"/>
  <c r="D24" i="40" l="1"/>
  <c r="D26" i="40" s="1"/>
  <c r="D27" i="40" s="1"/>
  <c r="D36" i="40"/>
  <c r="E36" i="40" s="1"/>
  <c r="N13" i="12"/>
  <c r="N14" i="12" s="1"/>
  <c r="K8" i="24" s="1"/>
  <c r="K9" i="24" s="1"/>
  <c r="K9" i="23" s="1"/>
  <c r="AA77" i="36"/>
  <c r="M68" i="36"/>
  <c r="I31" i="12"/>
  <c r="M71" i="36"/>
  <c r="M66" i="36"/>
  <c r="M67" i="36"/>
  <c r="M70" i="36"/>
  <c r="M75" i="36"/>
  <c r="M64" i="36"/>
  <c r="M69" i="36"/>
  <c r="M73" i="36"/>
  <c r="M63" i="36"/>
  <c r="M72" i="36"/>
  <c r="M74" i="36"/>
  <c r="M62" i="36"/>
  <c r="M65" i="36"/>
  <c r="M76" i="36"/>
  <c r="K77" i="36"/>
  <c r="F49" i="12"/>
  <c r="AC77" i="36" l="1"/>
  <c r="C21" i="12"/>
  <c r="F52" i="12"/>
  <c r="M77" i="36"/>
  <c r="F50" i="12" l="1"/>
  <c r="F53" i="12" s="1"/>
  <c r="K10" i="23" l="1"/>
  <c r="F20" i="12"/>
  <c r="C22" i="12"/>
  <c r="C28" i="16"/>
  <c r="C21" i="16"/>
  <c r="D10" i="16" l="1"/>
  <c r="D9" i="16"/>
  <c r="F21" i="12"/>
  <c r="F22" i="12" s="1"/>
  <c r="D9" i="12" s="1"/>
  <c r="D11" i="16" l="1"/>
  <c r="D7" i="24" s="1"/>
  <c r="E33" i="12"/>
  <c r="H34" i="12" s="1"/>
  <c r="D10" i="12" s="1"/>
  <c r="D19" i="14" l="1"/>
  <c r="D20" i="14"/>
  <c r="D21" i="14"/>
  <c r="D13" i="14"/>
  <c r="D22" i="14"/>
  <c r="C40" i="12" l="1"/>
  <c r="D40" i="12" s="1"/>
  <c r="F40" i="12" s="1"/>
  <c r="D18" i="14"/>
  <c r="D23" i="14" s="1"/>
  <c r="D24" i="14" l="1"/>
  <c r="C8" i="23" s="1"/>
  <c r="C41" i="12"/>
  <c r="D11" i="12"/>
  <c r="D13" i="12" l="1"/>
  <c r="D14" i="12" s="1"/>
  <c r="D8" i="24" s="1"/>
  <c r="D9" i="24" s="1"/>
  <c r="C9" i="23" s="1"/>
  <c r="C10" i="23" s="1"/>
</calcChain>
</file>

<file path=xl/sharedStrings.xml><?xml version="1.0" encoding="utf-8"?>
<sst xmlns="http://schemas.openxmlformats.org/spreadsheetml/2006/main" count="798" uniqueCount="245">
  <si>
    <t>CO2-Preis [€/t]</t>
  </si>
  <si>
    <t>Einkaufspreis Leiterplatten [€/kg]</t>
  </si>
  <si>
    <t>Gesamtgewinn</t>
  </si>
  <si>
    <t>Gewinn [€]</t>
  </si>
  <si>
    <t>Ökonomische Analyse des Technologiemetallrecyclings - Gesamtgewinn</t>
  </si>
  <si>
    <t>Zerstückelung</t>
  </si>
  <si>
    <t>Entstückung</t>
  </si>
  <si>
    <t>Gesamtinvestitionskosten</t>
  </si>
  <si>
    <t>Gesamte Investitionskosten</t>
  </si>
  <si>
    <t>Ökonomische Analyse des Technologiemetallrecyclings - Einnahmen</t>
  </si>
  <si>
    <t>Investitionskosten für Maschinen [€]</t>
  </si>
  <si>
    <t>Investitionskosten für zusätzliche Ausrüstung [€]</t>
  </si>
  <si>
    <t>Gesamtinvestitionskosten [€]</t>
  </si>
  <si>
    <t>Bezeichnung</t>
  </si>
  <si>
    <t>Initiale Investition</t>
  </si>
  <si>
    <t>Investitionskosten für Maschinen</t>
  </si>
  <si>
    <t>Zerstückelungsmaschine</t>
  </si>
  <si>
    <t>Zerstückelungsmaschine [€]</t>
  </si>
  <si>
    <t>Sortierungsmaschine [€]</t>
  </si>
  <si>
    <t>Maschine für die metallurgische Extraktion [€]</t>
  </si>
  <si>
    <t>Veredelungsmaschine [€]</t>
  </si>
  <si>
    <t>Gesamtinvestitionskosten für Maschinen [€]</t>
  </si>
  <si>
    <t>Investitionskosten für zusätzliche Ausrüstung</t>
  </si>
  <si>
    <t>Förderband [€]</t>
  </si>
  <si>
    <t>Gesamtbetriebs- und -wartungskosten</t>
  </si>
  <si>
    <t>Personalgehälter pro Jahr [€]</t>
  </si>
  <si>
    <t>Maschinenbetriebs- und -wartungskosten pro Jahr [€]</t>
  </si>
  <si>
    <t>Kosten für Abfälle [€]</t>
  </si>
  <si>
    <t>Gesamtbetriebs- und -wartungskosten [€]</t>
  </si>
  <si>
    <t>Jährliche Betriebs- und Wartungskosten [€]</t>
  </si>
  <si>
    <t>Anzahl pro Schicht</t>
  </si>
  <si>
    <t>Kosten p. Person &amp; Jahr [€]</t>
  </si>
  <si>
    <t>Schichten pro Tag</t>
  </si>
  <si>
    <t>Gesamtkosten [€]</t>
  </si>
  <si>
    <t>Gesamt-kosten [€]</t>
  </si>
  <si>
    <t>Personalgehälter pro Jahr</t>
  </si>
  <si>
    <t>Personalart</t>
  </si>
  <si>
    <t>Maschinenbetriebs- und -wartungskosten pro Jahr</t>
  </si>
  <si>
    <t>Effizienz 
[%]</t>
  </si>
  <si>
    <t>Wartungs-kosten pro Jahr [€]</t>
  </si>
  <si>
    <t>Betriebs-stunden pro Jahr [h]</t>
  </si>
  <si>
    <t>Stromkosten pro kWh
[€/kWh]</t>
  </si>
  <si>
    <t>Jährliche Stromkosten [€]</t>
  </si>
  <si>
    <t>Summe [€]</t>
  </si>
  <si>
    <t>Abfallkosten</t>
  </si>
  <si>
    <t>Gesamtmaschinenbetriebs- und -wartungskosten pro Jahr [€]</t>
  </si>
  <si>
    <t xml:space="preserve">Sortierungsmaschine </t>
  </si>
  <si>
    <t>Veredelungsmaschine</t>
  </si>
  <si>
    <t>Abfallkosten pro Jahr</t>
  </si>
  <si>
    <t>Prozentualer Anteil Abfälle 
[%]</t>
  </si>
  <si>
    <t>Gesamtkosten pro Jahr [€]</t>
  </si>
  <si>
    <t>Gesamtkosten</t>
  </si>
  <si>
    <t>Investitionskosten [€]</t>
  </si>
  <si>
    <t>Betriebs- und Wartungskosten [€]</t>
  </si>
  <si>
    <t>Management</t>
  </si>
  <si>
    <t>Operatoren</t>
  </si>
  <si>
    <t>Förderband</t>
  </si>
  <si>
    <t>Gesamteinnahmen</t>
  </si>
  <si>
    <t>Prozessschritt</t>
  </si>
  <si>
    <t>Einnahmen aus Verkauf PCB-Basismaterial [€]</t>
  </si>
  <si>
    <t>nach Sortierung</t>
  </si>
  <si>
    <t>nach Veredelung</t>
  </si>
  <si>
    <t>Gewinn Leiterplatten [€/kg]</t>
  </si>
  <si>
    <t>veredeltes Technologiemetall [kg]</t>
  </si>
  <si>
    <t>Einnahmen aus TM-Verkauf [€]</t>
  </si>
  <si>
    <t>Anteil PCB-Basismaterial  [kg]</t>
  </si>
  <si>
    <t>Anteil PCB-Basismaterial nach Sortierung [%]</t>
  </si>
  <si>
    <t>Anteil SMD ohne TM nach Metallurgie [%]</t>
  </si>
  <si>
    <t>Anteil zerkleinerte PCB nach Zerstückelung [%]</t>
  </si>
  <si>
    <t>Anteil Staub nach Zerstückelung [%]</t>
  </si>
  <si>
    <t>Anteil SMD nach Sortierung [%]</t>
  </si>
  <si>
    <t>Allgemeine Annahmen</t>
  </si>
  <si>
    <t>Gesamtpersonalkosten p. Jahr [€]</t>
  </si>
  <si>
    <t>Gesamtabfallkosten pro Jahr [€]</t>
  </si>
  <si>
    <t>Personal</t>
  </si>
  <si>
    <t>Anzahl Schichen [#]</t>
  </si>
  <si>
    <t>Schichtdauer [h]</t>
  </si>
  <si>
    <t>Arbeitstage pro Woche [d]</t>
  </si>
  <si>
    <t xml:space="preserve">Wochen pro Jahr </t>
  </si>
  <si>
    <t>Lebensdauer Maschinen [Jahre]</t>
  </si>
  <si>
    <t>Maschine für die metallurg. Extraktion</t>
  </si>
  <si>
    <t>Leistung
[kW]</t>
  </si>
  <si>
    <t>Stromkosten [€/kWh]</t>
  </si>
  <si>
    <t>Kupfer [Gew.-%]</t>
  </si>
  <si>
    <t>Preis [€/kg]</t>
  </si>
  <si>
    <t xml:space="preserve">Zusammensetzung Leiterplatte </t>
  </si>
  <si>
    <t>Nichtmetalle [Gew.-%]</t>
  </si>
  <si>
    <t>Eisen [Gew.-%]</t>
  </si>
  <si>
    <t>Aluminium [Gew.-%]</t>
  </si>
  <si>
    <t>Blei [Gew.-%]</t>
  </si>
  <si>
    <t>Zinn [Gew.-%]</t>
  </si>
  <si>
    <t>Nickel [Gew.-%]</t>
  </si>
  <si>
    <t>Antimon [Gew.-%]</t>
  </si>
  <si>
    <t>Zink [Gew.-%]</t>
  </si>
  <si>
    <t>Silber [Gew.-%]</t>
  </si>
  <si>
    <t>Gold [Gew.-%]</t>
  </si>
  <si>
    <t>Cadmium [Gew.-%]</t>
  </si>
  <si>
    <t>Tantal [Gew.-%]</t>
  </si>
  <si>
    <t>Palladium [Gew.-%]</t>
  </si>
  <si>
    <t>Platin [Gew.-%]</t>
  </si>
  <si>
    <t>CO2-Emissionskosten</t>
  </si>
  <si>
    <t>Prozess</t>
  </si>
  <si>
    <t>CO2-Emissionen [t/Jahr]</t>
  </si>
  <si>
    <t>CO2-Kosten  [€/Jahr]</t>
  </si>
  <si>
    <t xml:space="preserve">Summe </t>
  </si>
  <si>
    <t>Gesamtemissionskosten pro Jahr [€]</t>
  </si>
  <si>
    <t>Einnahmen aus Verkauf [€/kg]</t>
  </si>
  <si>
    <t>Gesamtkosten [€/kg]</t>
  </si>
  <si>
    <t>Gewinn  [€/kg]</t>
  </si>
  <si>
    <t>Abfälle pro Jahr [kg]</t>
  </si>
  <si>
    <t>Menge Leiterplatteninput [kg/Jahr]</t>
  </si>
  <si>
    <t>Gebühr  [€/t]</t>
  </si>
  <si>
    <t>davon Antimon [€]</t>
  </si>
  <si>
    <t>davon Tantal [€]</t>
  </si>
  <si>
    <t>davon Palladium [€]</t>
  </si>
  <si>
    <t>davon Platin [€]</t>
  </si>
  <si>
    <t>davon Kupfer [kg]</t>
  </si>
  <si>
    <t>davon Antimon [kg]</t>
  </si>
  <si>
    <t>davon Tantal [kg]</t>
  </si>
  <si>
    <t>davon Palladium [kg]</t>
  </si>
  <si>
    <t>davon Platin [kg]</t>
  </si>
  <si>
    <t>davon Kupfer [€]</t>
  </si>
  <si>
    <t>Sortierung</t>
  </si>
  <si>
    <t>Metallurgie</t>
  </si>
  <si>
    <t>Veredelung</t>
  </si>
  <si>
    <t>Anteil [%]</t>
  </si>
  <si>
    <t>Summe</t>
  </si>
  <si>
    <t>Anteil von Anfangswert nach Prozess x in [%]</t>
  </si>
  <si>
    <t>Anteil von Flussmaterial nach Prozess x in [%]</t>
  </si>
  <si>
    <t>Masse nach Prozess x in [kg]</t>
  </si>
  <si>
    <t>Soll</t>
  </si>
  <si>
    <t>Ist</t>
  </si>
  <si>
    <t>Weiterverarbeitungsquote in Prozess x in [%]</t>
  </si>
  <si>
    <t>Durchsatz [kg/h]</t>
  </si>
  <si>
    <t>Jährliche Arbeitsstunden (pro Mitarbeiter) [h]</t>
  </si>
  <si>
    <t>Anzahl benötigte Mitarbeiter [#]</t>
  </si>
  <si>
    <t>Zerstückelungsmaschine [kg/h]</t>
  </si>
  <si>
    <t>Sortierungsmaschine [kg/h]</t>
  </si>
  <si>
    <t>Maschine für die metallurg. Extraktion [kg/h]</t>
  </si>
  <si>
    <t>Veredelungsmaschine [kg/h]</t>
  </si>
  <si>
    <t>Förderband [kg/h]</t>
  </si>
  <si>
    <t>Jährliche Arbeitsstunden (benötigt für Maschinen) [h]</t>
  </si>
  <si>
    <t>Maschinen</t>
  </si>
  <si>
    <t>CO2-Emissionen  [kg/kWh]</t>
  </si>
  <si>
    <t>Eingabefelder</t>
  </si>
  <si>
    <t>davon Nichtmetalle [kg]</t>
  </si>
  <si>
    <t>davon Nichtmetalle [€]</t>
  </si>
  <si>
    <t>Personalgehalt Manager [€/Jahr]</t>
  </si>
  <si>
    <t>Personalgehalt Operator [€/Jahr]</t>
  </si>
  <si>
    <t>Abfallgebühr [€/t]</t>
  </si>
  <si>
    <t>Investitionskosten</t>
  </si>
  <si>
    <t>Durchsatz</t>
  </si>
  <si>
    <t>Zerstückelungsmaschine [%]</t>
  </si>
  <si>
    <t>Sortierungsmaschine [%]</t>
  </si>
  <si>
    <t>Maschine für die metallurgische Extraktion [%]</t>
  </si>
  <si>
    <t>Veredelungsmaschine [%]</t>
  </si>
  <si>
    <t>Förderband [%]</t>
  </si>
  <si>
    <t>Wartungskosten</t>
  </si>
  <si>
    <t>Zerstückelungsmaschine [€/Jahr]</t>
  </si>
  <si>
    <t>Sortierungsmaschine [€/Jahr]</t>
  </si>
  <si>
    <t>Maschine für die metallurgische Extraktion [€/Jahr]</t>
  </si>
  <si>
    <t>Veredelungsmaschine [€/Jahr]</t>
  </si>
  <si>
    <t>Förderband [€/Jahr]</t>
  </si>
  <si>
    <t>Leistungsaufnahme</t>
  </si>
  <si>
    <t>Sortierungsmaschine [kW]</t>
  </si>
  <si>
    <t>Zerstückelungsmaschine [kW]</t>
  </si>
  <si>
    <t>Maschine für die metallurgische Extraktion [kW]</t>
  </si>
  <si>
    <t>Veredelungsmaschine [kW]</t>
  </si>
  <si>
    <t>Förderband [kW]</t>
  </si>
  <si>
    <t>jährliche Gesamteinnahmen</t>
  </si>
  <si>
    <t xml:space="preserve">Gesamteinnahmen  </t>
  </si>
  <si>
    <t>Kosten für die Leiterplattenbeschaffung</t>
  </si>
  <si>
    <t>Ankauf pro Jahr [kg]</t>
  </si>
  <si>
    <t>Kosten [€/kg]</t>
  </si>
  <si>
    <t>Gesamtbeschaffungskosten pro Jahr [€]</t>
  </si>
  <si>
    <t>Kosten für die Leiterplattenbeschaffung [€]</t>
  </si>
  <si>
    <t>Entstückungsmaschine [kg/h]</t>
  </si>
  <si>
    <t>Entstückungsmaschine [€]</t>
  </si>
  <si>
    <t>Entstückungsmaschine [%]</t>
  </si>
  <si>
    <t>Energieeffizienz</t>
  </si>
  <si>
    <t>Entstückungsmaschine [€/Jahr]</t>
  </si>
  <si>
    <t>Entstückungsmaschine [kW]</t>
  </si>
  <si>
    <t>Prozessangaben bei Recycling mit Entstückungsmaschine</t>
  </si>
  <si>
    <t>Prozessangaben bei Recycling mit Zerstückelungsmaschine</t>
  </si>
  <si>
    <t>Ökonomische Analyse des Technologiemetallrecyclings - Investitionskosten</t>
  </si>
  <si>
    <t>Recycling mit Entstückungsmaschine</t>
  </si>
  <si>
    <t>Recycling mit Zerstückelungsmaschine</t>
  </si>
  <si>
    <t>Ökonomische Analyse des Technologiemetallrecyclings - Betriebs- und Wartungskosten</t>
  </si>
  <si>
    <t>Entstückungssmaschine [€]</t>
  </si>
  <si>
    <t>Entstückungsmaschine</t>
  </si>
  <si>
    <t xml:space="preserve">Kupfer </t>
  </si>
  <si>
    <t xml:space="preserve">Eisen </t>
  </si>
  <si>
    <t xml:space="preserve">Nichtmetalle </t>
  </si>
  <si>
    <t xml:space="preserve">Aluminium </t>
  </si>
  <si>
    <t xml:space="preserve">Blei </t>
  </si>
  <si>
    <t xml:space="preserve">Zinn </t>
  </si>
  <si>
    <t xml:space="preserve">Nickel </t>
  </si>
  <si>
    <t xml:space="preserve">Antimon </t>
  </si>
  <si>
    <t xml:space="preserve">Zink </t>
  </si>
  <si>
    <t xml:space="preserve">Silber </t>
  </si>
  <si>
    <t xml:space="preserve">Gold </t>
  </si>
  <si>
    <t xml:space="preserve">Cadmium </t>
  </si>
  <si>
    <t xml:space="preserve">Tantal </t>
  </si>
  <si>
    <t xml:space="preserve">Palladium </t>
  </si>
  <si>
    <t xml:space="preserve">Platin </t>
  </si>
  <si>
    <t>Ökonomische Analyse des Technologiemetallrecyclings - Prozessberechnungen</t>
  </si>
  <si>
    <t>Ökonomische Analyse des Technologiemetallrecyclings - Gesamtkosten</t>
  </si>
  <si>
    <t>Technologiemetall</t>
  </si>
  <si>
    <t>Farbe</t>
  </si>
  <si>
    <t>Beschreibung</t>
  </si>
  <si>
    <t>Farblegende</t>
  </si>
  <si>
    <t>Blattname</t>
  </si>
  <si>
    <t>Annahmen</t>
  </si>
  <si>
    <t>Prozessberechnung</t>
  </si>
  <si>
    <t>Zeigt den berechneten Gewinn pro kg Input-Material der unterschiedlichen Prozessauslegegungen (Zerstückelung und Entstückung) im Vergleich zueinander.</t>
  </si>
  <si>
    <t>Hier können Annahmen bezüglich des gesamten Recycling-Prozesses getroffen und eingegeben werden, die dann automatisch in den Berechnungen berücksichtigt werden.</t>
  </si>
  <si>
    <t>Betriebs- und Wartungskosten</t>
  </si>
  <si>
    <t>Einnahmen</t>
  </si>
  <si>
    <t>Berechnet auf Basis der getroffenen Annahmen die nötigen Werte für die weiteren Blätter.</t>
  </si>
  <si>
    <t xml:space="preserve">Berechnet auf Basis der getroffenen Annahmen die Betriebs- und Wartungskosten. </t>
  </si>
  <si>
    <t>Berechnet auf Basis der getroffenen Annahmen die Investitionskosten.</t>
  </si>
  <si>
    <t>Addiert Investitions- und Betriebs- &amp; Wartungskosten.</t>
  </si>
  <si>
    <t xml:space="preserve">Berechnet auf Basis der getroffenen Annahmen die Einnahmen des Recyclingprozesses. </t>
  </si>
  <si>
    <t>Blatt</t>
  </si>
  <si>
    <t>Prozessberechnung, Betriebs- &amp; Wartungskosten</t>
  </si>
  <si>
    <t>Gibt Abweichung größer 5% von Sollwert an.</t>
  </si>
  <si>
    <t>Signalisiert den direkten Übertrag von Werten aus dem Blatt "Annahmen".</t>
  </si>
  <si>
    <t>Annahmen, Prozessberechnung</t>
  </si>
  <si>
    <t>Beschreibung der Blätter dieser Datei</t>
  </si>
  <si>
    <t>Ökonomische &amp; ökologische Analyse des Technologiemetallrecyclings</t>
  </si>
  <si>
    <t>Ökologische Analyse des Technologiemetallrecyclings</t>
  </si>
  <si>
    <t>Jährlicher Stromverbrauch [kWh]</t>
  </si>
  <si>
    <t>Jährlicher Stromver-brauch [kWh]</t>
  </si>
  <si>
    <t>Gesamtstromverbrauch [kWh]</t>
  </si>
  <si>
    <t xml:space="preserve">Gesamtstromverbrauch </t>
  </si>
  <si>
    <t>Jährliche CO2-Emissionen [t]</t>
  </si>
  <si>
    <t>Gesamte CO2-Emissionen [t]</t>
  </si>
  <si>
    <t xml:space="preserve">Gesamte CO2-Emissionen </t>
  </si>
  <si>
    <t>Annahmen für die ökonomische und ökologische Analyse des Technologiemetallrecyclings</t>
  </si>
  <si>
    <t>verarbeitete Menge [kg]</t>
  </si>
  <si>
    <t>Energie-intensität [kWh/kg]</t>
  </si>
  <si>
    <t>Energieintensität</t>
  </si>
  <si>
    <t>Energieintensität des gesamten Recyclingprozesses [kWh/kg]</t>
  </si>
  <si>
    <t>Ökologische Betrachtung</t>
  </si>
  <si>
    <t xml:space="preserve">Auf Basis der getätigten Annahmen wird hier der jährliche Stromverbrauch, der daraus resultierende CO2-Ausstoß sowie die Energieintensität berechnet.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</si>
</sst>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"/>
    <numFmt numFmtId="165" formatCode="0.000"/>
    <numFmt numFmtId="166" formatCode="0.0%"/>
    <numFmt numFmtId="167" formatCode="0.000%"/>
    <numFmt numFmtId="168" formatCode="#,##0.00\ &quot;€&quot;"/>
    <numFmt numFmtId="169" formatCode="0.0"/>
  </numFmts>
  <fonts count="15">
    <font>
      <sz val="12"/>
      <color theme="1"/>
      <name val="ArialMT"/>
      <family val="2"/>
    </font>
    <font>
      <b/>
      <sz val="12"/>
      <color theme="1"/>
      <name val="ArialMT"/>
      <family val="2"/>
    </font>
    <font>
      <b/>
      <sz val="14"/>
      <color theme="1"/>
      <name val="ArialMT"/>
    </font>
    <font>
      <u/>
      <sz val="12"/>
      <color theme="10"/>
      <name val="ArialMT"/>
      <family val="2"/>
    </font>
    <font>
      <u/>
      <sz val="12"/>
      <color theme="11"/>
      <name val="ArialMT"/>
      <family val="2"/>
    </font>
    <font>
      <sz val="8"/>
      <name val="ArialMT"/>
      <family val="2"/>
    </font>
    <font>
      <b/>
      <sz val="20"/>
      <color theme="1"/>
      <name val="ArialMT"/>
    </font>
    <font>
      <sz val="10"/>
      <color theme="1"/>
      <name val="ArialMT"/>
      <family val="2"/>
    </font>
    <font>
      <sz val="12"/>
      <color theme="1"/>
      <name val="ArialMT"/>
      <family val="2"/>
    </font>
    <font>
      <b/>
      <sz val="12"/>
      <color theme="1"/>
      <name val="ArialMT"/>
    </font>
    <font>
      <sz val="12"/>
      <color theme="1"/>
      <name val="ArialMT"/>
    </font>
    <font>
      <sz val="12"/>
      <color theme="1"/>
      <name val="Arial"/>
      <family val="2"/>
    </font>
    <font>
      <b/>
      <sz val="16"/>
      <color theme="1"/>
      <name val="ArialMT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9C7D"/>
        <bgColor indexed="64"/>
      </patternFill>
    </fill>
    <fill>
      <patternFill patternType="solid">
        <fgColor rgb="FFB9F5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7E1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dotted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dotted">
        <color indexed="64"/>
      </right>
      <top/>
      <bottom style="thin">
        <color auto="1"/>
      </bottom>
      <diagonal/>
    </border>
    <border>
      <left style="medium">
        <color auto="1"/>
      </left>
      <right style="dotted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indexed="64"/>
      </right>
      <top/>
      <bottom style="thin">
        <color auto="1"/>
      </bottom>
      <diagonal/>
    </border>
    <border>
      <left style="medium">
        <color auto="1"/>
      </left>
      <right style="dotted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indexed="64"/>
      </right>
      <top style="medium">
        <color auto="1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dotted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2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73">
    <xf numFmtId="0" fontId="0" fillId="0" borderId="0" xfId="0"/>
    <xf numFmtId="0" fontId="2" fillId="0" borderId="0" xfId="0" applyFont="1"/>
    <xf numFmtId="0" fontId="6" fillId="0" borderId="0" xfId="0" applyFont="1"/>
    <xf numFmtId="0" fontId="1" fillId="2" borderId="1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4" fontId="1" fillId="2" borderId="6" xfId="0" applyNumberFormat="1" applyFont="1" applyFill="1" applyBorder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0" fontId="0" fillId="2" borderId="14" xfId="0" applyFill="1" applyBorder="1"/>
    <xf numFmtId="0" fontId="0" fillId="0" borderId="5" xfId="0" applyBorder="1"/>
    <xf numFmtId="0" fontId="0" fillId="0" borderId="12" xfId="0" applyBorder="1"/>
    <xf numFmtId="0" fontId="1" fillId="2" borderId="14" xfId="0" applyFont="1" applyFill="1" applyBorder="1" applyAlignment="1">
      <alignment vertical="center" wrapText="1"/>
    </xf>
    <xf numFmtId="0" fontId="1" fillId="2" borderId="5" xfId="0" applyFont="1" applyFill="1" applyBorder="1"/>
    <xf numFmtId="0" fontId="1" fillId="2" borderId="25" xfId="0" applyFont="1" applyFill="1" applyBorder="1"/>
    <xf numFmtId="0" fontId="1" fillId="2" borderId="19" xfId="0" applyFont="1" applyFill="1" applyBorder="1" applyAlignment="1">
      <alignment horizontal="center" vertical="center" wrapText="1"/>
    </xf>
    <xf numFmtId="3" fontId="0" fillId="0" borderId="11" xfId="0" applyNumberForma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left" vertical="center"/>
    </xf>
    <xf numFmtId="3" fontId="0" fillId="2" borderId="32" xfId="0" applyNumberFormat="1" applyFill="1" applyBorder="1" applyAlignment="1">
      <alignment horizontal="center"/>
    </xf>
    <xf numFmtId="0" fontId="0" fillId="2" borderId="21" xfId="0" applyFill="1" applyBorder="1" applyAlignment="1"/>
    <xf numFmtId="0" fontId="0" fillId="2" borderId="37" xfId="0" applyFill="1" applyBorder="1" applyAlignment="1"/>
    <xf numFmtId="4" fontId="1" fillId="2" borderId="11" xfId="0" applyNumberFormat="1" applyFont="1" applyFill="1" applyBorder="1" applyAlignment="1"/>
    <xf numFmtId="0" fontId="1" fillId="2" borderId="14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4" fontId="1" fillId="2" borderId="32" xfId="0" applyNumberFormat="1" applyFont="1" applyFill="1" applyBorder="1" applyAlignment="1"/>
    <xf numFmtId="4" fontId="1" fillId="2" borderId="20" xfId="0" applyNumberFormat="1" applyFont="1" applyFill="1" applyBorder="1" applyAlignment="1"/>
    <xf numFmtId="4" fontId="1" fillId="2" borderId="21" xfId="0" applyNumberFormat="1" applyFont="1" applyFill="1" applyBorder="1" applyAlignment="1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Border="1"/>
    <xf numFmtId="0" fontId="1" fillId="3" borderId="0" xfId="0" applyFont="1" applyFill="1" applyBorder="1" applyAlignment="1">
      <alignment horizontal="left" vertical="center"/>
    </xf>
    <xf numFmtId="4" fontId="0" fillId="3" borderId="0" xfId="0" applyNumberFormat="1" applyFill="1" applyBorder="1" applyProtection="1">
      <protection locked="0"/>
    </xf>
    <xf numFmtId="3" fontId="0" fillId="3" borderId="21" xfId="0" applyNumberFormat="1" applyFont="1" applyFill="1" applyBorder="1" applyAlignment="1" applyProtection="1">
      <alignment horizontal="center"/>
      <protection locked="0"/>
    </xf>
    <xf numFmtId="3" fontId="0" fillId="3" borderId="6" xfId="0" applyNumberFormat="1" applyFont="1" applyFill="1" applyBorder="1" applyAlignment="1" applyProtection="1">
      <alignment horizontal="center"/>
      <protection locked="0"/>
    </xf>
    <xf numFmtId="0" fontId="0" fillId="0" borderId="51" xfId="0" applyBorder="1"/>
    <xf numFmtId="0" fontId="1" fillId="3" borderId="0" xfId="0" applyFont="1" applyFill="1" applyBorder="1" applyAlignment="1">
      <alignment horizontal="center" vertical="center" wrapText="1"/>
    </xf>
    <xf numFmtId="165" fontId="0" fillId="3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4" fontId="0" fillId="3" borderId="10" xfId="0" applyNumberFormat="1" applyFill="1" applyBorder="1" applyAlignment="1" applyProtection="1">
      <alignment horizontal="center" vertical="center"/>
      <protection locked="0"/>
    </xf>
    <xf numFmtId="4" fontId="0" fillId="3" borderId="52" xfId="0" applyNumberFormat="1" applyFill="1" applyBorder="1" applyAlignment="1" applyProtection="1">
      <alignment horizontal="center" vertical="center"/>
      <protection locked="0"/>
    </xf>
    <xf numFmtId="0" fontId="9" fillId="0" borderId="0" xfId="0" applyFont="1"/>
    <xf numFmtId="4" fontId="1" fillId="2" borderId="30" xfId="0" applyNumberFormat="1" applyFont="1" applyFill="1" applyBorder="1" applyAlignment="1"/>
    <xf numFmtId="4" fontId="1" fillId="2" borderId="26" xfId="0" applyNumberFormat="1" applyFont="1" applyFill="1" applyBorder="1" applyAlignment="1"/>
    <xf numFmtId="10" fontId="0" fillId="0" borderId="8" xfId="121" applyNumberFormat="1" applyFont="1" applyBorder="1" applyAlignment="1">
      <alignment horizontal="center"/>
    </xf>
    <xf numFmtId="0" fontId="0" fillId="0" borderId="10" xfId="0" applyBorder="1" applyAlignment="1">
      <alignment vertical="center"/>
    </xf>
    <xf numFmtId="167" fontId="0" fillId="5" borderId="6" xfId="121" applyNumberFormat="1" applyFont="1" applyFill="1" applyBorder="1" applyAlignment="1">
      <alignment vertical="center"/>
    </xf>
    <xf numFmtId="0" fontId="0" fillId="6" borderId="16" xfId="0" applyFill="1" applyBorder="1" applyAlignment="1">
      <alignment horizontal="center"/>
    </xf>
    <xf numFmtId="10" fontId="0" fillId="0" borderId="6" xfId="121" applyNumberFormat="1" applyFont="1" applyBorder="1" applyAlignment="1">
      <alignment vertical="center"/>
    </xf>
    <xf numFmtId="10" fontId="0" fillId="5" borderId="6" xfId="121" applyNumberFormat="1" applyFont="1" applyFill="1" applyBorder="1" applyAlignment="1">
      <alignment vertical="center"/>
    </xf>
    <xf numFmtId="0" fontId="0" fillId="6" borderId="39" xfId="0" applyFill="1" applyBorder="1"/>
    <xf numFmtId="0" fontId="0" fillId="6" borderId="40" xfId="0" applyFill="1" applyBorder="1"/>
    <xf numFmtId="0" fontId="0" fillId="6" borderId="17" xfId="0" applyFill="1" applyBorder="1"/>
    <xf numFmtId="166" fontId="0" fillId="0" borderId="0" xfId="0" applyNumberFormat="1"/>
    <xf numFmtId="0" fontId="0" fillId="3" borderId="0" xfId="0" applyFill="1" applyBorder="1" applyAlignment="1">
      <alignment horizontal="center"/>
    </xf>
    <xf numFmtId="10" fontId="0" fillId="3" borderId="0" xfId="121" applyNumberFormat="1" applyFont="1" applyFill="1" applyBorder="1" applyAlignment="1">
      <alignment vertical="center"/>
    </xf>
    <xf numFmtId="167" fontId="0" fillId="3" borderId="0" xfId="121" applyNumberFormat="1" applyFont="1" applyFill="1" applyBorder="1" applyAlignment="1">
      <alignment vertical="center"/>
    </xf>
    <xf numFmtId="166" fontId="0" fillId="3" borderId="0" xfId="0" applyNumberFormat="1" applyFill="1" applyBorder="1"/>
    <xf numFmtId="10" fontId="0" fillId="6" borderId="10" xfId="0" applyNumberFormat="1" applyFill="1" applyBorder="1"/>
    <xf numFmtId="10" fontId="0" fillId="6" borderId="15" xfId="0" applyNumberFormat="1" applyFill="1" applyBorder="1"/>
    <xf numFmtId="2" fontId="0" fillId="3" borderId="0" xfId="0" applyNumberFormat="1" applyFill="1" applyBorder="1" applyAlignment="1" applyProtection="1">
      <alignment horizontal="center" vertical="center"/>
      <protection locked="0"/>
    </xf>
    <xf numFmtId="0" fontId="0" fillId="6" borderId="63" xfId="0" applyFill="1" applyBorder="1" applyAlignment="1">
      <alignment horizontal="center"/>
    </xf>
    <xf numFmtId="169" fontId="0" fillId="0" borderId="6" xfId="121" applyNumberFormat="1" applyFont="1" applyBorder="1" applyAlignment="1">
      <alignment vertical="center"/>
    </xf>
    <xf numFmtId="169" fontId="0" fillId="5" borderId="6" xfId="121" applyNumberFormat="1" applyFont="1" applyFill="1" applyBorder="1" applyAlignment="1">
      <alignment vertical="center"/>
    </xf>
    <xf numFmtId="1" fontId="0" fillId="6" borderId="15" xfId="0" applyNumberFormat="1" applyFill="1" applyBorder="1"/>
    <xf numFmtId="4" fontId="1" fillId="2" borderId="3" xfId="0" applyNumberFormat="1" applyFont="1" applyFill="1" applyBorder="1" applyAlignment="1"/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1" fontId="0" fillId="3" borderId="0" xfId="0" applyNumberFormat="1" applyFill="1" applyBorder="1" applyAlignment="1">
      <alignment horizontal="center" vertical="center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168" fontId="0" fillId="3" borderId="0" xfId="0" applyNumberFormat="1" applyFill="1" applyBorder="1" applyAlignment="1" applyProtection="1">
      <alignment horizontal="center" vertical="center"/>
      <protection locked="0"/>
    </xf>
    <xf numFmtId="168" fontId="0" fillId="3" borderId="0" xfId="0" applyNumberFormat="1" applyFill="1" applyBorder="1" applyAlignment="1">
      <alignment horizontal="center" vertical="center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Border="1" applyAlignment="1">
      <alignment horizontal="center" vertical="center"/>
    </xf>
    <xf numFmtId="0" fontId="0" fillId="6" borderId="71" xfId="0" applyFill="1" applyBorder="1" applyAlignment="1">
      <alignment horizontal="center"/>
    </xf>
    <xf numFmtId="0" fontId="0" fillId="6" borderId="73" xfId="0" applyFill="1" applyBorder="1" applyAlignment="1">
      <alignment horizontal="center"/>
    </xf>
    <xf numFmtId="9" fontId="0" fillId="0" borderId="74" xfId="121" applyFont="1" applyBorder="1" applyAlignment="1">
      <alignment vertical="center"/>
    </xf>
    <xf numFmtId="0" fontId="0" fillId="6" borderId="75" xfId="0" applyFill="1" applyBorder="1" applyAlignment="1">
      <alignment horizontal="center"/>
    </xf>
    <xf numFmtId="10" fontId="0" fillId="0" borderId="68" xfId="121" applyNumberFormat="1" applyFont="1" applyBorder="1" applyAlignment="1">
      <alignment vertical="center"/>
    </xf>
    <xf numFmtId="10" fontId="0" fillId="5" borderId="69" xfId="121" applyNumberFormat="1" applyFont="1" applyFill="1" applyBorder="1" applyAlignment="1">
      <alignment vertical="center"/>
    </xf>
    <xf numFmtId="167" fontId="0" fillId="0" borderId="68" xfId="121" applyNumberFormat="1" applyFont="1" applyBorder="1" applyAlignment="1">
      <alignment vertical="center"/>
    </xf>
    <xf numFmtId="167" fontId="0" fillId="5" borderId="68" xfId="121" applyNumberFormat="1" applyFont="1" applyFill="1" applyBorder="1" applyAlignment="1">
      <alignment vertical="center"/>
    </xf>
    <xf numFmtId="167" fontId="0" fillId="5" borderId="69" xfId="121" applyNumberFormat="1" applyFont="1" applyFill="1" applyBorder="1" applyAlignment="1">
      <alignment vertical="center"/>
    </xf>
    <xf numFmtId="10" fontId="0" fillId="6" borderId="69" xfId="0" applyNumberFormat="1" applyFill="1" applyBorder="1"/>
    <xf numFmtId="10" fontId="0" fillId="0" borderId="74" xfId="121" applyNumberFormat="1" applyFont="1" applyBorder="1" applyAlignment="1">
      <alignment vertical="center"/>
    </xf>
    <xf numFmtId="10" fontId="0" fillId="5" borderId="72" xfId="121" applyNumberFormat="1" applyFont="1" applyFill="1" applyBorder="1" applyAlignment="1">
      <alignment vertical="center"/>
    </xf>
    <xf numFmtId="167" fontId="0" fillId="5" borderId="72" xfId="121" applyNumberFormat="1" applyFont="1" applyFill="1" applyBorder="1" applyAlignment="1">
      <alignment vertical="center"/>
    </xf>
    <xf numFmtId="10" fontId="0" fillId="6" borderId="72" xfId="0" applyNumberFormat="1" applyFill="1" applyBorder="1"/>
    <xf numFmtId="10" fontId="0" fillId="5" borderId="68" xfId="121" applyNumberFormat="1" applyFont="1" applyFill="1" applyBorder="1" applyAlignment="1">
      <alignment vertical="center"/>
    </xf>
    <xf numFmtId="10" fontId="0" fillId="5" borderId="74" xfId="121" applyNumberFormat="1" applyFont="1" applyFill="1" applyBorder="1" applyAlignment="1">
      <alignment vertical="center"/>
    </xf>
    <xf numFmtId="167" fontId="0" fillId="5" borderId="74" xfId="121" applyNumberFormat="1" applyFont="1" applyFill="1" applyBorder="1" applyAlignment="1">
      <alignment vertical="center"/>
    </xf>
    <xf numFmtId="169" fontId="0" fillId="0" borderId="67" xfId="121" applyNumberFormat="1" applyFont="1" applyBorder="1" applyAlignment="1">
      <alignment vertical="center"/>
    </xf>
    <xf numFmtId="169" fontId="0" fillId="0" borderId="68" xfId="121" applyNumberFormat="1" applyFont="1" applyBorder="1" applyAlignment="1">
      <alignment vertical="center"/>
    </xf>
    <xf numFmtId="169" fontId="0" fillId="5" borderId="68" xfId="121" applyNumberFormat="1" applyFont="1" applyFill="1" applyBorder="1" applyAlignment="1">
      <alignment vertical="center"/>
    </xf>
    <xf numFmtId="1" fontId="0" fillId="6" borderId="69" xfId="0" applyNumberFormat="1" applyFill="1" applyBorder="1"/>
    <xf numFmtId="169" fontId="0" fillId="0" borderId="74" xfId="121" applyNumberFormat="1" applyFont="1" applyBorder="1" applyAlignment="1">
      <alignment vertical="center"/>
    </xf>
    <xf numFmtId="169" fontId="0" fillId="5" borderId="74" xfId="121" applyNumberFormat="1" applyFont="1" applyFill="1" applyBorder="1" applyAlignment="1">
      <alignment vertical="center"/>
    </xf>
    <xf numFmtId="1" fontId="0" fillId="6" borderId="72" xfId="0" applyNumberFormat="1" applyFill="1" applyBorder="1"/>
    <xf numFmtId="169" fontId="0" fillId="0" borderId="72" xfId="121" applyNumberFormat="1" applyFont="1" applyBorder="1" applyAlignment="1">
      <alignment vertical="center"/>
    </xf>
    <xf numFmtId="169" fontId="0" fillId="5" borderId="72" xfId="121" applyNumberFormat="1" applyFont="1" applyFill="1" applyBorder="1" applyAlignment="1">
      <alignment vertical="center"/>
    </xf>
    <xf numFmtId="169" fontId="0" fillId="0" borderId="76" xfId="121" applyNumberFormat="1" applyFont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3" borderId="0" xfId="0" applyFont="1" applyFill="1" applyBorder="1" applyAlignment="1">
      <alignment horizontal="left" vertical="center"/>
    </xf>
    <xf numFmtId="4" fontId="0" fillId="0" borderId="0" xfId="0" applyNumberFormat="1"/>
    <xf numFmtId="2" fontId="0" fillId="3" borderId="0" xfId="121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9" fillId="6" borderId="17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6" borderId="40" xfId="0" applyFont="1" applyFill="1" applyBorder="1" applyAlignment="1">
      <alignment horizontal="center"/>
    </xf>
    <xf numFmtId="4" fontId="0" fillId="0" borderId="41" xfId="0" applyNumberFormat="1" applyFont="1" applyFill="1" applyBorder="1" applyAlignment="1">
      <alignment horizontal="right"/>
    </xf>
    <xf numFmtId="4" fontId="0" fillId="0" borderId="3" xfId="0" applyNumberFormat="1" applyFont="1" applyFill="1" applyBorder="1" applyAlignment="1">
      <alignment horizontal="right"/>
    </xf>
    <xf numFmtId="4" fontId="0" fillId="0" borderId="7" xfId="0" applyNumberFormat="1" applyFont="1" applyFill="1" applyBorder="1" applyAlignment="1">
      <alignment horizontal="right"/>
    </xf>
    <xf numFmtId="0" fontId="0" fillId="2" borderId="47" xfId="0" applyFill="1" applyBorder="1" applyAlignment="1">
      <alignment horizontal="left" vertical="center"/>
    </xf>
    <xf numFmtId="0" fontId="0" fillId="2" borderId="48" xfId="0" applyFill="1" applyBorder="1" applyAlignment="1">
      <alignment horizontal="left" vertical="center"/>
    </xf>
    <xf numFmtId="0" fontId="0" fillId="2" borderId="44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68" fontId="0" fillId="3" borderId="0" xfId="0" applyNumberFormat="1" applyFill="1" applyBorder="1" applyAlignment="1">
      <alignment horizontal="center" vertical="center"/>
    </xf>
    <xf numFmtId="0" fontId="11" fillId="3" borderId="0" xfId="0" applyFont="1" applyFill="1"/>
    <xf numFmtId="166" fontId="0" fillId="8" borderId="37" xfId="121" applyNumberFormat="1" applyFont="1" applyFill="1" applyBorder="1" applyAlignment="1" applyProtection="1">
      <alignment vertical="center"/>
      <protection locked="0"/>
    </xf>
    <xf numFmtId="168" fontId="0" fillId="8" borderId="9" xfId="0" applyNumberFormat="1" applyFill="1" applyBorder="1" applyAlignment="1">
      <alignment horizontal="center"/>
    </xf>
    <xf numFmtId="166" fontId="0" fillId="8" borderId="49" xfId="121" applyNumberFormat="1" applyFont="1" applyFill="1" applyBorder="1" applyAlignment="1" applyProtection="1">
      <alignment vertical="center"/>
      <protection locked="0"/>
    </xf>
    <xf numFmtId="168" fontId="0" fillId="8" borderId="12" xfId="0" applyNumberFormat="1" applyFill="1" applyBorder="1" applyAlignment="1">
      <alignment horizontal="center"/>
    </xf>
    <xf numFmtId="166" fontId="0" fillId="8" borderId="39" xfId="121" applyNumberFormat="1" applyFont="1" applyFill="1" applyBorder="1" applyAlignment="1">
      <alignment vertical="center"/>
    </xf>
    <xf numFmtId="168" fontId="0" fillId="8" borderId="51" xfId="0" applyNumberFormat="1" applyFill="1" applyBorder="1" applyAlignment="1">
      <alignment horizontal="center"/>
    </xf>
    <xf numFmtId="166" fontId="0" fillId="8" borderId="39" xfId="121" applyNumberFormat="1" applyFont="1" applyFill="1" applyBorder="1" applyAlignment="1" applyProtection="1">
      <alignment vertical="center"/>
      <protection locked="0"/>
    </xf>
    <xf numFmtId="166" fontId="0" fillId="8" borderId="3" xfId="121" applyNumberFormat="1" applyFont="1" applyFill="1" applyBorder="1" applyAlignment="1">
      <alignment vertical="center"/>
    </xf>
    <xf numFmtId="10" fontId="0" fillId="8" borderId="39" xfId="121" applyNumberFormat="1" applyFont="1" applyFill="1" applyBorder="1" applyAlignment="1">
      <alignment vertical="center"/>
    </xf>
    <xf numFmtId="10" fontId="0" fillId="8" borderId="3" xfId="121" applyNumberFormat="1" applyFont="1" applyFill="1" applyBorder="1" applyAlignment="1">
      <alignment vertical="center"/>
    </xf>
    <xf numFmtId="10" fontId="0" fillId="8" borderId="39" xfId="121" applyNumberFormat="1" applyFont="1" applyFill="1" applyBorder="1" applyAlignment="1" applyProtection="1">
      <alignment vertical="center"/>
      <protection locked="0"/>
    </xf>
    <xf numFmtId="167" fontId="0" fillId="8" borderId="3" xfId="121" applyNumberFormat="1" applyFont="1" applyFill="1" applyBorder="1" applyAlignment="1">
      <alignment vertical="center"/>
    </xf>
    <xf numFmtId="9" fontId="0" fillId="8" borderId="67" xfId="121" applyFont="1" applyFill="1" applyBorder="1" applyAlignment="1">
      <alignment vertical="center"/>
    </xf>
    <xf numFmtId="9" fontId="0" fillId="8" borderId="6" xfId="121" applyFont="1" applyFill="1" applyBorder="1" applyAlignment="1">
      <alignment vertical="center"/>
    </xf>
    <xf numFmtId="9" fontId="0" fillId="8" borderId="74" xfId="121" applyFont="1" applyFill="1" applyBorder="1" applyAlignment="1">
      <alignment vertical="center"/>
    </xf>
    <xf numFmtId="9" fontId="0" fillId="8" borderId="68" xfId="121" applyFont="1" applyFill="1" applyBorder="1" applyAlignment="1">
      <alignment vertical="center"/>
    </xf>
    <xf numFmtId="9" fontId="0" fillId="8" borderId="69" xfId="121" applyFont="1" applyFill="1" applyBorder="1" applyAlignment="1">
      <alignment vertical="center"/>
    </xf>
    <xf numFmtId="9" fontId="0" fillId="8" borderId="70" xfId="121" applyFont="1" applyFill="1" applyBorder="1" applyAlignment="1">
      <alignment vertical="center"/>
    </xf>
    <xf numFmtId="9" fontId="0" fillId="8" borderId="15" xfId="121" applyFont="1" applyFill="1" applyBorder="1" applyAlignment="1">
      <alignment vertical="center"/>
    </xf>
    <xf numFmtId="9" fontId="0" fillId="8" borderId="72" xfId="121" applyFont="1" applyFill="1" applyBorder="1" applyAlignment="1">
      <alignment vertical="center"/>
    </xf>
    <xf numFmtId="0" fontId="0" fillId="3" borderId="0" xfId="0" applyFill="1" applyBorder="1" applyAlignment="1">
      <alignment horizontal="center"/>
    </xf>
    <xf numFmtId="9" fontId="0" fillId="3" borderId="0" xfId="121" applyFont="1" applyFill="1" applyBorder="1" applyAlignment="1">
      <alignment vertical="center"/>
    </xf>
    <xf numFmtId="169" fontId="0" fillId="3" borderId="0" xfId="121" applyNumberFormat="1" applyFont="1" applyFill="1" applyBorder="1" applyAlignment="1">
      <alignment vertical="center"/>
    </xf>
    <xf numFmtId="10" fontId="0" fillId="3" borderId="0" xfId="0" applyNumberFormat="1" applyFill="1" applyBorder="1"/>
    <xf numFmtId="1" fontId="0" fillId="3" borderId="0" xfId="0" applyNumberFormat="1" applyFill="1" applyBorder="1"/>
    <xf numFmtId="0" fontId="0" fillId="6" borderId="34" xfId="0" applyFill="1" applyBorder="1" applyAlignment="1">
      <alignment horizontal="center"/>
    </xf>
    <xf numFmtId="0" fontId="0" fillId="6" borderId="15" xfId="0" applyFill="1" applyBorder="1"/>
    <xf numFmtId="166" fontId="0" fillId="10" borderId="37" xfId="121" applyNumberFormat="1" applyFont="1" applyFill="1" applyBorder="1" applyAlignment="1" applyProtection="1">
      <alignment vertical="center"/>
      <protection locked="0"/>
    </xf>
    <xf numFmtId="168" fontId="0" fillId="10" borderId="9" xfId="0" applyNumberFormat="1" applyFill="1" applyBorder="1" applyAlignment="1">
      <alignment horizontal="center"/>
    </xf>
    <xf numFmtId="9" fontId="0" fillId="10" borderId="67" xfId="121" applyFont="1" applyFill="1" applyBorder="1" applyAlignment="1">
      <alignment vertical="center"/>
    </xf>
    <xf numFmtId="9" fontId="0" fillId="10" borderId="6" xfId="121" applyFont="1" applyFill="1" applyBorder="1" applyAlignment="1">
      <alignment vertical="center"/>
    </xf>
    <xf numFmtId="9" fontId="0" fillId="10" borderId="74" xfId="121" applyFont="1" applyFill="1" applyBorder="1" applyAlignment="1">
      <alignment vertical="center"/>
    </xf>
    <xf numFmtId="166" fontId="0" fillId="10" borderId="49" xfId="121" applyNumberFormat="1" applyFont="1" applyFill="1" applyBorder="1" applyAlignment="1" applyProtection="1">
      <alignment vertical="center"/>
      <protection locked="0"/>
    </xf>
    <xf numFmtId="168" fontId="0" fillId="10" borderId="12" xfId="0" applyNumberFormat="1" applyFill="1" applyBorder="1" applyAlignment="1">
      <alignment horizontal="center"/>
    </xf>
    <xf numFmtId="9" fontId="0" fillId="10" borderId="68" xfId="121" applyFont="1" applyFill="1" applyBorder="1" applyAlignment="1">
      <alignment vertical="center"/>
    </xf>
    <xf numFmtId="166" fontId="0" fillId="10" borderId="39" xfId="121" applyNumberFormat="1" applyFont="1" applyFill="1" applyBorder="1" applyAlignment="1">
      <alignment vertical="center"/>
    </xf>
    <xf numFmtId="168" fontId="0" fillId="10" borderId="51" xfId="0" applyNumberFormat="1" applyFill="1" applyBorder="1" applyAlignment="1">
      <alignment horizontal="center"/>
    </xf>
    <xf numFmtId="9" fontId="0" fillId="10" borderId="69" xfId="121" applyFont="1" applyFill="1" applyBorder="1" applyAlignment="1">
      <alignment vertical="center"/>
    </xf>
    <xf numFmtId="166" fontId="0" fillId="10" borderId="39" xfId="121" applyNumberFormat="1" applyFont="1" applyFill="1" applyBorder="1" applyAlignment="1" applyProtection="1">
      <alignment vertical="center"/>
      <protection locked="0"/>
    </xf>
    <xf numFmtId="9" fontId="0" fillId="10" borderId="70" xfId="121" applyFont="1" applyFill="1" applyBorder="1" applyAlignment="1">
      <alignment vertical="center"/>
    </xf>
    <xf numFmtId="166" fontId="0" fillId="10" borderId="3" xfId="121" applyNumberFormat="1" applyFont="1" applyFill="1" applyBorder="1" applyAlignment="1">
      <alignment vertical="center"/>
    </xf>
    <xf numFmtId="9" fontId="0" fillId="10" borderId="15" xfId="121" applyFont="1" applyFill="1" applyBorder="1" applyAlignment="1">
      <alignment vertical="center"/>
    </xf>
    <xf numFmtId="9" fontId="0" fillId="10" borderId="72" xfId="121" applyFont="1" applyFill="1" applyBorder="1" applyAlignment="1">
      <alignment vertical="center"/>
    </xf>
    <xf numFmtId="10" fontId="0" fillId="10" borderId="39" xfId="121" applyNumberFormat="1" applyFont="1" applyFill="1" applyBorder="1" applyAlignment="1">
      <alignment vertical="center"/>
    </xf>
    <xf numFmtId="10" fontId="0" fillId="10" borderId="3" xfId="121" applyNumberFormat="1" applyFont="1" applyFill="1" applyBorder="1" applyAlignment="1">
      <alignment vertical="center"/>
    </xf>
    <xf numFmtId="10" fontId="0" fillId="10" borderId="39" xfId="121" applyNumberFormat="1" applyFont="1" applyFill="1" applyBorder="1" applyAlignment="1" applyProtection="1">
      <alignment vertical="center"/>
      <protection locked="0"/>
    </xf>
    <xf numFmtId="167" fontId="0" fillId="10" borderId="3" xfId="121" applyNumberFormat="1" applyFont="1" applyFill="1" applyBorder="1" applyAlignment="1">
      <alignment vertical="center"/>
    </xf>
    <xf numFmtId="4" fontId="0" fillId="3" borderId="6" xfId="0" applyNumberFormat="1" applyFill="1" applyBorder="1" applyProtection="1">
      <protection locked="0"/>
    </xf>
    <xf numFmtId="4" fontId="0" fillId="9" borderId="21" xfId="0" applyNumberFormat="1" applyFont="1" applyFill="1" applyBorder="1" applyAlignment="1" applyProtection="1">
      <alignment horizontal="right"/>
      <protection locked="0"/>
    </xf>
    <xf numFmtId="4" fontId="0" fillId="9" borderId="6" xfId="0" applyNumberFormat="1" applyFont="1" applyFill="1" applyBorder="1" applyAlignment="1" applyProtection="1">
      <alignment horizontal="right"/>
      <protection locked="0"/>
    </xf>
    <xf numFmtId="4" fontId="0" fillId="3" borderId="21" xfId="0" applyNumberFormat="1" applyFont="1" applyFill="1" applyBorder="1" applyAlignment="1">
      <alignment horizontal="right"/>
    </xf>
    <xf numFmtId="4" fontId="0" fillId="3" borderId="6" xfId="0" applyNumberFormat="1" applyFont="1" applyFill="1" applyBorder="1" applyAlignment="1">
      <alignment horizontal="right"/>
    </xf>
    <xf numFmtId="4" fontId="0" fillId="3" borderId="11" xfId="0" applyNumberFormat="1" applyFill="1" applyBorder="1"/>
    <xf numFmtId="4" fontId="0" fillId="3" borderId="4" xfId="0" applyNumberFormat="1" applyFill="1" applyBorder="1"/>
    <xf numFmtId="4" fontId="0" fillId="3" borderId="2" xfId="0" applyNumberFormat="1" applyFill="1" applyBorder="1"/>
    <xf numFmtId="2" fontId="0" fillId="9" borderId="11" xfId="0" applyNumberFormat="1" applyFill="1" applyBorder="1" applyProtection="1">
      <protection locked="0"/>
    </xf>
    <xf numFmtId="0" fontId="0" fillId="2" borderId="39" xfId="0" applyFill="1" applyBorder="1" applyAlignment="1">
      <alignment horizontal="left" vertical="center" indent="1"/>
    </xf>
    <xf numFmtId="0" fontId="0" fillId="2" borderId="17" xfId="0" applyFill="1" applyBorder="1" applyAlignment="1">
      <alignment horizontal="left" vertical="center" indent="1"/>
    </xf>
    <xf numFmtId="0" fontId="0" fillId="2" borderId="15" xfId="0" applyFill="1" applyBorder="1" applyAlignment="1">
      <alignment horizontal="left" vertical="center" indent="1"/>
    </xf>
    <xf numFmtId="4" fontId="0" fillId="9" borderId="11" xfId="0" applyNumberFormat="1" applyFill="1" applyBorder="1" applyAlignment="1" applyProtection="1">
      <alignment horizontal="center"/>
      <protection locked="0"/>
    </xf>
    <xf numFmtId="4" fontId="0" fillId="9" borderId="11" xfId="0" applyNumberFormat="1" applyFill="1" applyBorder="1" applyAlignment="1" applyProtection="1">
      <alignment horizontal="center" vertical="center"/>
      <protection locked="0"/>
    </xf>
    <xf numFmtId="1" fontId="0" fillId="9" borderId="11" xfId="0" applyNumberFormat="1" applyFill="1" applyBorder="1"/>
    <xf numFmtId="4" fontId="0" fillId="9" borderId="10" xfId="0" applyNumberFormat="1" applyFill="1" applyBorder="1" applyAlignment="1" applyProtection="1">
      <alignment horizontal="center"/>
      <protection locked="0"/>
    </xf>
    <xf numFmtId="4" fontId="0" fillId="9" borderId="10" xfId="0" applyNumberFormat="1" applyFill="1" applyBorder="1" applyAlignment="1" applyProtection="1">
      <alignment horizontal="center" vertical="center"/>
      <protection locked="0"/>
    </xf>
    <xf numFmtId="0" fontId="0" fillId="9" borderId="10" xfId="0" applyFill="1" applyBorder="1"/>
    <xf numFmtId="0" fontId="0" fillId="9" borderId="0" xfId="0" applyFill="1"/>
    <xf numFmtId="0" fontId="0" fillId="9" borderId="61" xfId="0" applyFill="1" applyBorder="1"/>
    <xf numFmtId="4" fontId="0" fillId="9" borderId="53" xfId="0" applyNumberFormat="1" applyFill="1" applyBorder="1" applyAlignment="1" applyProtection="1">
      <alignment horizontal="center"/>
      <protection locked="0"/>
    </xf>
    <xf numFmtId="4" fontId="0" fillId="9" borderId="52" xfId="0" applyNumberFormat="1" applyFill="1" applyBorder="1" applyAlignment="1" applyProtection="1">
      <alignment horizontal="center" vertical="center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0" fontId="0" fillId="9" borderId="13" xfId="0" applyFill="1" applyBorder="1"/>
    <xf numFmtId="0" fontId="1" fillId="2" borderId="12" xfId="0" applyFont="1" applyFill="1" applyBorder="1"/>
    <xf numFmtId="0" fontId="0" fillId="2" borderId="17" xfId="0" applyFill="1" applyBorder="1"/>
    <xf numFmtId="2" fontId="0" fillId="9" borderId="42" xfId="0" applyNumberFormat="1" applyFill="1" applyBorder="1" applyProtection="1">
      <protection locked="0"/>
    </xf>
    <xf numFmtId="4" fontId="1" fillId="2" borderId="17" xfId="0" applyNumberFormat="1" applyFont="1" applyFill="1" applyBorder="1" applyAlignment="1"/>
    <xf numFmtId="4" fontId="1" fillId="2" borderId="15" xfId="0" applyNumberFormat="1" applyFont="1" applyFill="1" applyBorder="1" applyAlignment="1"/>
    <xf numFmtId="3" fontId="0" fillId="9" borderId="11" xfId="0" applyNumberFormat="1" applyFill="1" applyBorder="1"/>
    <xf numFmtId="0" fontId="0" fillId="2" borderId="41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/>
    </xf>
    <xf numFmtId="0" fontId="12" fillId="0" borderId="0" xfId="0" applyFont="1"/>
    <xf numFmtId="0" fontId="0" fillId="0" borderId="0" xfId="0" applyBorder="1"/>
    <xf numFmtId="0" fontId="0" fillId="0" borderId="59" xfId="0" applyBorder="1"/>
    <xf numFmtId="0" fontId="0" fillId="3" borderId="59" xfId="0" applyFill="1" applyBorder="1"/>
    <xf numFmtId="0" fontId="2" fillId="3" borderId="59" xfId="0" applyFont="1" applyFill="1" applyBorder="1"/>
    <xf numFmtId="0" fontId="1" fillId="3" borderId="59" xfId="0" applyFont="1" applyFill="1" applyBorder="1" applyAlignment="1">
      <alignment horizontal="left" vertical="center"/>
    </xf>
    <xf numFmtId="0" fontId="1" fillId="3" borderId="59" xfId="0" applyFont="1" applyFill="1" applyBorder="1" applyAlignment="1">
      <alignment vertical="center" wrapText="1"/>
    </xf>
    <xf numFmtId="10" fontId="0" fillId="0" borderId="21" xfId="121" applyNumberFormat="1" applyFont="1" applyBorder="1" applyAlignment="1">
      <alignment vertical="center"/>
    </xf>
    <xf numFmtId="169" fontId="0" fillId="0" borderId="21" xfId="121" applyNumberFormat="1" applyFont="1" applyBorder="1" applyAlignment="1">
      <alignment vertical="center"/>
    </xf>
    <xf numFmtId="169" fontId="0" fillId="5" borderId="15" xfId="121" applyNumberFormat="1" applyFont="1" applyFill="1" applyBorder="1" applyAlignment="1">
      <alignment vertical="center"/>
    </xf>
    <xf numFmtId="1" fontId="0" fillId="6" borderId="77" xfId="0" applyNumberFormat="1" applyFill="1" applyBorder="1"/>
    <xf numFmtId="0" fontId="0" fillId="6" borderId="78" xfId="0" applyFill="1" applyBorder="1" applyAlignment="1">
      <alignment horizontal="center"/>
    </xf>
    <xf numFmtId="166" fontId="0" fillId="0" borderId="59" xfId="0" applyNumberFormat="1" applyBorder="1"/>
    <xf numFmtId="0" fontId="0" fillId="0" borderId="25" xfId="0" applyBorder="1"/>
    <xf numFmtId="0" fontId="11" fillId="3" borderId="52" xfId="0" applyFont="1" applyFill="1" applyBorder="1"/>
    <xf numFmtId="0" fontId="13" fillId="3" borderId="0" xfId="0" applyFont="1" applyFill="1" applyAlignment="1">
      <alignment horizontal="left"/>
    </xf>
    <xf numFmtId="0" fontId="6" fillId="3" borderId="0" xfId="0" applyFont="1" applyFill="1"/>
    <xf numFmtId="0" fontId="6" fillId="3" borderId="0" xfId="0" applyFont="1" applyFill="1" applyBorder="1" applyAlignment="1">
      <alignment vertical="center"/>
    </xf>
    <xf numFmtId="0" fontId="11" fillId="8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1" fillId="10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0" fontId="11" fillId="7" borderId="10" xfId="0" applyFont="1" applyFill="1" applyBorder="1" applyAlignment="1">
      <alignment vertical="center"/>
    </xf>
    <xf numFmtId="0" fontId="11" fillId="5" borderId="10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61" xfId="0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0" fontId="11" fillId="3" borderId="61" xfId="0" applyFont="1" applyFill="1" applyBorder="1" applyAlignment="1">
      <alignment vertical="center" wrapText="1"/>
    </xf>
    <xf numFmtId="4" fontId="0" fillId="0" borderId="11" xfId="0" applyNumberFormat="1" applyFill="1" applyBorder="1" applyAlignment="1" applyProtection="1">
      <alignment horizontal="center"/>
    </xf>
    <xf numFmtId="0" fontId="0" fillId="0" borderId="0" xfId="0" applyProtection="1"/>
    <xf numFmtId="0" fontId="0" fillId="3" borderId="0" xfId="0" applyFill="1" applyProtection="1"/>
    <xf numFmtId="0" fontId="6" fillId="0" borderId="0" xfId="0" applyFont="1" applyProtection="1"/>
    <xf numFmtId="0" fontId="2" fillId="0" borderId="0" xfId="0" applyFont="1" applyProtection="1"/>
    <xf numFmtId="0" fontId="12" fillId="0" borderId="0" xfId="0" applyFont="1" applyProtection="1"/>
    <xf numFmtId="0" fontId="0" fillId="3" borderId="0" xfId="0" applyFill="1" applyBorder="1" applyProtection="1"/>
    <xf numFmtId="0" fontId="0" fillId="0" borderId="59" xfId="0" applyBorder="1" applyProtection="1"/>
    <xf numFmtId="0" fontId="1" fillId="2" borderId="14" xfId="0" applyFont="1" applyFill="1" applyBorder="1" applyAlignment="1" applyProtection="1">
      <alignment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0" fillId="0" borderId="9" xfId="0" applyBorder="1" applyProtection="1"/>
    <xf numFmtId="4" fontId="0" fillId="9" borderId="11" xfId="0" applyNumberFormat="1" applyFill="1" applyBorder="1" applyAlignment="1" applyProtection="1">
      <alignment horizontal="center"/>
    </xf>
    <xf numFmtId="4" fontId="0" fillId="9" borderId="11" xfId="0" applyNumberForma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/>
    </xf>
    <xf numFmtId="4" fontId="0" fillId="3" borderId="11" xfId="0" applyNumberFormat="1" applyFill="1" applyBorder="1" applyProtection="1"/>
    <xf numFmtId="0" fontId="0" fillId="0" borderId="12" xfId="0" applyBorder="1" applyProtection="1"/>
    <xf numFmtId="4" fontId="0" fillId="9" borderId="10" xfId="0" applyNumberFormat="1" applyFill="1" applyBorder="1" applyAlignment="1" applyProtection="1">
      <alignment horizontal="center"/>
    </xf>
    <xf numFmtId="4" fontId="0" fillId="9" borderId="10" xfId="0" applyNumberForma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</xf>
    <xf numFmtId="4" fontId="0" fillId="3" borderId="4" xfId="0" applyNumberFormat="1" applyFill="1" applyBorder="1" applyProtection="1"/>
    <xf numFmtId="0" fontId="0" fillId="0" borderId="56" xfId="0" applyBorder="1" applyProtection="1"/>
    <xf numFmtId="4" fontId="0" fillId="9" borderId="53" xfId="0" applyNumberFormat="1" applyFill="1" applyBorder="1" applyAlignment="1" applyProtection="1">
      <alignment horizontal="center"/>
    </xf>
    <xf numFmtId="4" fontId="0" fillId="9" borderId="2" xfId="0" applyNumberForma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/>
    </xf>
    <xf numFmtId="4" fontId="0" fillId="3" borderId="2" xfId="0" applyNumberFormat="1" applyFill="1" applyBorder="1" applyProtection="1"/>
    <xf numFmtId="4" fontId="1" fillId="2" borderId="3" xfId="0" applyNumberFormat="1" applyFont="1" applyFill="1" applyBorder="1" applyAlignment="1" applyProtection="1"/>
    <xf numFmtId="4" fontId="1" fillId="2" borderId="6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vertical="center"/>
    </xf>
    <xf numFmtId="49" fontId="0" fillId="3" borderId="0" xfId="0" applyNumberFormat="1" applyFont="1" applyFill="1" applyBorder="1" applyAlignment="1" applyProtection="1">
      <alignment horizontal="left" indent="2"/>
    </xf>
    <xf numFmtId="0" fontId="0" fillId="3" borderId="0" xfId="0" applyFont="1" applyFill="1" applyBorder="1" applyProtection="1"/>
    <xf numFmtId="4" fontId="0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center"/>
    </xf>
    <xf numFmtId="49" fontId="0" fillId="3" borderId="0" xfId="0" applyNumberFormat="1" applyFont="1" applyFill="1" applyBorder="1" applyProtection="1"/>
    <xf numFmtId="4" fontId="9" fillId="3" borderId="0" xfId="0" applyNumberFormat="1" applyFont="1" applyFill="1" applyBorder="1" applyProtection="1"/>
    <xf numFmtId="0" fontId="1" fillId="3" borderId="0" xfId="0" applyFont="1" applyFill="1" applyBorder="1" applyAlignment="1" applyProtection="1">
      <alignment horizontal="center" vertical="center" wrapText="1"/>
    </xf>
    <xf numFmtId="0" fontId="0" fillId="0" borderId="5" xfId="0" applyBorder="1" applyProtection="1"/>
    <xf numFmtId="4" fontId="0" fillId="3" borderId="21" xfId="0" applyNumberFormat="1" applyFill="1" applyBorder="1" applyAlignment="1" applyProtection="1">
      <alignment horizontal="center"/>
    </xf>
    <xf numFmtId="4" fontId="0" fillId="3" borderId="0" xfId="0" applyNumberFormat="1" applyFill="1" applyBorder="1" applyAlignment="1" applyProtection="1">
      <alignment horizontal="center" vertical="center"/>
    </xf>
    <xf numFmtId="4" fontId="0" fillId="3" borderId="15" xfId="0" applyNumberFormat="1" applyFill="1" applyBorder="1" applyAlignment="1" applyProtection="1">
      <alignment horizontal="center"/>
    </xf>
    <xf numFmtId="0" fontId="0" fillId="0" borderId="51" xfId="0" applyBorder="1" applyProtection="1"/>
    <xf numFmtId="4" fontId="0" fillId="3" borderId="16" xfId="0" applyNumberFormat="1" applyFill="1" applyBorder="1" applyAlignment="1" applyProtection="1">
      <alignment horizontal="center"/>
    </xf>
    <xf numFmtId="0" fontId="1" fillId="2" borderId="9" xfId="0" applyFont="1" applyFill="1" applyBorder="1" applyProtection="1"/>
    <xf numFmtId="4" fontId="1" fillId="2" borderId="32" xfId="0" applyNumberFormat="1" applyFont="1" applyFill="1" applyBorder="1" applyAlignment="1" applyProtection="1"/>
    <xf numFmtId="4" fontId="1" fillId="2" borderId="80" xfId="0" applyNumberFormat="1" applyFont="1" applyFill="1" applyBorder="1" applyAlignment="1" applyProtection="1"/>
    <xf numFmtId="4" fontId="1" fillId="3" borderId="0" xfId="0" applyNumberFormat="1" applyFont="1" applyFill="1" applyBorder="1" applyAlignment="1" applyProtection="1"/>
    <xf numFmtId="0" fontId="1" fillId="2" borderId="55" xfId="0" applyFont="1" applyFill="1" applyBorder="1" applyProtection="1"/>
    <xf numFmtId="4" fontId="1" fillId="2" borderId="21" xfId="0" applyNumberFormat="1" applyFont="1" applyFill="1" applyBorder="1" applyAlignment="1" applyProtection="1"/>
    <xf numFmtId="0" fontId="1" fillId="2" borderId="12" xfId="0" applyFont="1" applyFill="1" applyBorder="1" applyProtection="1"/>
    <xf numFmtId="4" fontId="1" fillId="2" borderId="41" xfId="0" applyNumberFormat="1" applyFont="1" applyFill="1" applyBorder="1" applyAlignment="1" applyProtection="1"/>
    <xf numFmtId="4" fontId="1" fillId="2" borderId="15" xfId="0" applyNumberFormat="1" applyFont="1" applyFill="1" applyBorder="1" applyAlignment="1" applyProtection="1"/>
    <xf numFmtId="4" fontId="1" fillId="2" borderId="6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3" borderId="0" xfId="0" applyFont="1" applyFill="1" applyBorder="1" applyAlignment="1" applyProtection="1"/>
    <xf numFmtId="0" fontId="1" fillId="2" borderId="38" xfId="0" applyFont="1" applyFill="1" applyBorder="1" applyAlignment="1" applyProtection="1">
      <alignment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0" fillId="0" borderId="37" xfId="0" applyBorder="1" applyProtection="1"/>
    <xf numFmtId="4" fontId="0" fillId="0" borderId="11" xfId="0" applyNumberFormat="1" applyFill="1" applyBorder="1" applyAlignment="1" applyProtection="1">
      <alignment horizontal="center" vertical="center"/>
    </xf>
    <xf numFmtId="4" fontId="0" fillId="3" borderId="21" xfId="0" applyNumberFormat="1" applyFill="1" applyBorder="1" applyProtection="1"/>
    <xf numFmtId="0" fontId="0" fillId="0" borderId="39" xfId="0" applyBorder="1" applyProtection="1"/>
    <xf numFmtId="4" fontId="0" fillId="0" borderId="10" xfId="0" applyNumberFormat="1" applyFill="1" applyBorder="1" applyAlignment="1" applyProtection="1">
      <alignment horizontal="center"/>
    </xf>
    <xf numFmtId="4" fontId="0" fillId="0" borderId="10" xfId="0" applyNumberFormat="1" applyFill="1" applyBorder="1" applyAlignment="1" applyProtection="1">
      <alignment horizontal="center" vertical="center"/>
    </xf>
    <xf numFmtId="4" fontId="0" fillId="3" borderId="6" xfId="0" applyNumberFormat="1" applyFill="1" applyBorder="1" applyProtection="1"/>
    <xf numFmtId="0" fontId="0" fillId="0" borderId="58" xfId="0" applyBorder="1" applyProtection="1"/>
    <xf numFmtId="4" fontId="0" fillId="0" borderId="13" xfId="0" applyNumberForma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>
      <alignment horizontal="center" vertical="center"/>
    </xf>
    <xf numFmtId="4" fontId="0" fillId="3" borderId="63" xfId="0" applyNumberFormat="1" applyFill="1" applyBorder="1" applyProtection="1"/>
    <xf numFmtId="4" fontId="0" fillId="0" borderId="53" xfId="0" applyNumberFormat="1" applyFill="1" applyBorder="1" applyAlignment="1" applyProtection="1">
      <alignment horizontal="center"/>
    </xf>
    <xf numFmtId="0" fontId="1" fillId="2" borderId="37" xfId="0" applyFont="1" applyFill="1" applyBorder="1" applyAlignment="1" applyProtection="1"/>
    <xf numFmtId="4" fontId="1" fillId="2" borderId="11" xfId="0" applyNumberFormat="1" applyFont="1" applyFill="1" applyBorder="1" applyAlignment="1" applyProtection="1"/>
    <xf numFmtId="4" fontId="1" fillId="2" borderId="20" xfId="0" applyNumberFormat="1" applyFont="1" applyFill="1" applyBorder="1" applyAlignment="1" applyProtection="1"/>
    <xf numFmtId="0" fontId="1" fillId="2" borderId="39" xfId="0" applyFont="1" applyFill="1" applyBorder="1" applyAlignment="1" applyProtection="1"/>
    <xf numFmtId="0" fontId="1" fillId="2" borderId="17" xfId="0" applyFont="1" applyFill="1" applyBorder="1" applyAlignment="1" applyProtection="1"/>
    <xf numFmtId="0" fontId="9" fillId="2" borderId="14" xfId="0" applyFont="1" applyFill="1" applyBorder="1" applyProtection="1"/>
    <xf numFmtId="0" fontId="0" fillId="0" borderId="59" xfId="0" applyFont="1" applyBorder="1" applyProtection="1"/>
    <xf numFmtId="49" fontId="0" fillId="2" borderId="27" xfId="0" applyNumberFormat="1" applyFont="1" applyFill="1" applyBorder="1" applyProtection="1"/>
    <xf numFmtId="4" fontId="9" fillId="3" borderId="8" xfId="0" applyNumberFormat="1" applyFont="1" applyFill="1" applyBorder="1" applyProtection="1"/>
    <xf numFmtId="49" fontId="0" fillId="2" borderId="54" xfId="0" applyNumberFormat="1" applyFont="1" applyFill="1" applyBorder="1" applyAlignment="1" applyProtection="1">
      <alignment horizontal="left" indent="1"/>
    </xf>
    <xf numFmtId="4" fontId="9" fillId="3" borderId="52" xfId="0" applyNumberFormat="1" applyFont="1" applyFill="1" applyBorder="1" applyProtection="1"/>
    <xf numFmtId="49" fontId="0" fillId="2" borderId="33" xfId="0" applyNumberFormat="1" applyFont="1" applyFill="1" applyBorder="1" applyAlignment="1" applyProtection="1">
      <alignment horizontal="left" indent="1"/>
    </xf>
    <xf numFmtId="4" fontId="0" fillId="3" borderId="16" xfId="0" applyNumberFormat="1" applyFont="1" applyFill="1" applyBorder="1" applyProtection="1"/>
    <xf numFmtId="49" fontId="0" fillId="2" borderId="27" xfId="0" applyNumberFormat="1" applyFont="1" applyFill="1" applyBorder="1" applyAlignment="1" applyProtection="1">
      <alignment horizontal="left"/>
    </xf>
    <xf numFmtId="4" fontId="9" fillId="3" borderId="21" xfId="0" applyNumberFormat="1" applyFont="1" applyFill="1" applyBorder="1" applyProtection="1"/>
    <xf numFmtId="4" fontId="10" fillId="3" borderId="52" xfId="0" applyNumberFormat="1" applyFont="1" applyFill="1" applyBorder="1" applyProtection="1"/>
    <xf numFmtId="0" fontId="3" fillId="0" borderId="59" xfId="122" applyBorder="1" applyProtection="1"/>
    <xf numFmtId="0" fontId="0" fillId="0" borderId="0" xfId="0" applyAlignment="1" applyProtection="1">
      <alignment horizontal="center" vertical="center" wrapText="1"/>
    </xf>
    <xf numFmtId="49" fontId="0" fillId="2" borderId="35" xfId="0" applyNumberFormat="1" applyFont="1" applyFill="1" applyBorder="1" applyAlignment="1" applyProtection="1">
      <alignment horizontal="left" indent="2"/>
    </xf>
    <xf numFmtId="4" fontId="0" fillId="3" borderId="57" xfId="0" applyNumberFormat="1" applyFont="1" applyFill="1" applyBorder="1" applyProtection="1"/>
    <xf numFmtId="4" fontId="0" fillId="3" borderId="52" xfId="0" applyNumberFormat="1" applyFont="1" applyFill="1" applyBorder="1" applyProtection="1"/>
    <xf numFmtId="49" fontId="0" fillId="2" borderId="33" xfId="0" applyNumberFormat="1" applyFont="1" applyFill="1" applyBorder="1" applyAlignment="1" applyProtection="1">
      <alignment horizontal="left" indent="2"/>
    </xf>
    <xf numFmtId="49" fontId="0" fillId="2" borderId="54" xfId="0" applyNumberFormat="1" applyFont="1" applyFill="1" applyBorder="1" applyProtection="1"/>
    <xf numFmtId="49" fontId="0" fillId="2" borderId="46" xfId="0" applyNumberFormat="1" applyFont="1" applyFill="1" applyBorder="1" applyAlignment="1" applyProtection="1">
      <alignment horizontal="left" indent="2"/>
    </xf>
    <xf numFmtId="4" fontId="0" fillId="3" borderId="44" xfId="0" applyNumberFormat="1" applyFont="1" applyFill="1" applyBorder="1" applyProtection="1"/>
    <xf numFmtId="0" fontId="0" fillId="2" borderId="5" xfId="0" applyFill="1" applyBorder="1" applyProtection="1"/>
    <xf numFmtId="0" fontId="1" fillId="2" borderId="45" xfId="0" applyFont="1" applyFill="1" applyBorder="1" applyProtection="1"/>
    <xf numFmtId="4" fontId="1" fillId="4" borderId="6" xfId="0" applyNumberFormat="1" applyFont="1" applyFill="1" applyBorder="1" applyProtection="1"/>
    <xf numFmtId="0" fontId="1" fillId="3" borderId="0" xfId="0" applyFont="1" applyFill="1" applyBorder="1" applyProtection="1"/>
    <xf numFmtId="4" fontId="1" fillId="3" borderId="0" xfId="0" applyNumberFormat="1" applyFont="1" applyFill="1" applyBorder="1" applyProtection="1"/>
    <xf numFmtId="0" fontId="14" fillId="2" borderId="38" xfId="0" applyFont="1" applyFill="1" applyBorder="1" applyAlignment="1">
      <alignment horizontal="left" vertical="center"/>
    </xf>
    <xf numFmtId="0" fontId="14" fillId="2" borderId="16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1" fillId="3" borderId="37" xfId="0" applyFont="1" applyFill="1" applyBorder="1" applyAlignment="1">
      <alignment horizontal="left" vertical="center" wrapText="1"/>
    </xf>
    <xf numFmtId="0" fontId="11" fillId="3" borderId="21" xfId="0" applyFont="1" applyFill="1" applyBorder="1" applyAlignment="1">
      <alignment horizontal="left" vertical="center" wrapText="1"/>
    </xf>
    <xf numFmtId="0" fontId="11" fillId="3" borderId="39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4" fontId="1" fillId="4" borderId="32" xfId="0" applyNumberFormat="1" applyFont="1" applyFill="1" applyBorder="1" applyAlignment="1">
      <alignment horizontal="right"/>
    </xf>
    <xf numFmtId="4" fontId="1" fillId="4" borderId="20" xfId="0" applyNumberFormat="1" applyFont="1" applyFill="1" applyBorder="1" applyAlignment="1">
      <alignment horizontal="right"/>
    </xf>
    <xf numFmtId="4" fontId="1" fillId="4" borderId="21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4" fontId="0" fillId="0" borderId="32" xfId="0" applyNumberFormat="1" applyBorder="1" applyAlignment="1">
      <alignment horizontal="right"/>
    </xf>
    <xf numFmtId="4" fontId="0" fillId="0" borderId="20" xfId="0" applyNumberFormat="1" applyBorder="1" applyAlignment="1">
      <alignment horizontal="right"/>
    </xf>
    <xf numFmtId="4" fontId="0" fillId="0" borderId="21" xfId="0" applyNumberFormat="1" applyBorder="1" applyAlignment="1">
      <alignment horizontal="right"/>
    </xf>
    <xf numFmtId="4" fontId="0" fillId="0" borderId="79" xfId="0" applyNumberFormat="1" applyBorder="1" applyAlignment="1">
      <alignment horizontal="right"/>
    </xf>
    <xf numFmtId="4" fontId="0" fillId="0" borderId="50" xfId="0" applyNumberFormat="1" applyBorder="1" applyAlignment="1">
      <alignment horizontal="right"/>
    </xf>
    <xf numFmtId="4" fontId="0" fillId="0" borderId="63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34" xfId="0" applyNumberFormat="1" applyBorder="1" applyAlignment="1">
      <alignment horizontal="right"/>
    </xf>
    <xf numFmtId="4" fontId="0" fillId="0" borderId="19" xfId="0" applyNumberFormat="1" applyBorder="1" applyAlignment="1">
      <alignment horizontal="right"/>
    </xf>
    <xf numFmtId="4" fontId="0" fillId="0" borderId="16" xfId="0" applyNumberFormat="1" applyBorder="1" applyAlignment="1">
      <alignment horizontal="right"/>
    </xf>
    <xf numFmtId="0" fontId="0" fillId="2" borderId="39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5" borderId="39" xfId="0" applyFill="1" applyBorder="1" applyAlignment="1">
      <alignment horizontal="left" vertical="center"/>
    </xf>
    <xf numFmtId="0" fontId="0" fillId="5" borderId="17" xfId="0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0" fontId="9" fillId="6" borderId="39" xfId="0" applyFont="1" applyFill="1" applyBorder="1" applyAlignment="1">
      <alignment horizontal="left" vertical="center"/>
    </xf>
    <xf numFmtId="0" fontId="9" fillId="6" borderId="17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left" vertical="center"/>
    </xf>
    <xf numFmtId="1" fontId="0" fillId="8" borderId="39" xfId="0" applyNumberFormat="1" applyFill="1" applyBorder="1" applyAlignment="1">
      <alignment horizontal="center" vertical="center"/>
    </xf>
    <xf numFmtId="1" fontId="0" fillId="8" borderId="17" xfId="0" applyNumberFormat="1" applyFill="1" applyBorder="1" applyAlignment="1">
      <alignment horizontal="center" vertical="center"/>
    </xf>
    <xf numFmtId="1" fontId="0" fillId="8" borderId="15" xfId="0" applyNumberFormat="1" applyFill="1" applyBorder="1" applyAlignment="1">
      <alignment horizontal="center" vertical="center"/>
    </xf>
    <xf numFmtId="0" fontId="0" fillId="8" borderId="39" xfId="0" applyNumberFormat="1" applyFill="1" applyBorder="1" applyAlignment="1">
      <alignment horizontal="center" vertical="center"/>
    </xf>
    <xf numFmtId="0" fontId="0" fillId="8" borderId="17" xfId="0" applyNumberFormat="1" applyFill="1" applyBorder="1" applyAlignment="1">
      <alignment horizontal="center" vertical="center"/>
    </xf>
    <xf numFmtId="0" fontId="0" fillId="8" borderId="15" xfId="0" applyNumberForma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left" vertical="center"/>
    </xf>
    <xf numFmtId="0" fontId="1" fillId="2" borderId="48" xfId="0" applyFont="1" applyFill="1" applyBorder="1" applyAlignment="1">
      <alignment horizontal="left" vertical="center"/>
    </xf>
    <xf numFmtId="0" fontId="1" fillId="2" borderId="44" xfId="0" applyFont="1" applyFill="1" applyBorder="1" applyAlignment="1">
      <alignment horizontal="left" vertical="center"/>
    </xf>
    <xf numFmtId="0" fontId="1" fillId="2" borderId="6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52" xfId="0" applyFont="1" applyFill="1" applyBorder="1" applyAlignment="1">
      <alignment horizontal="left" vertical="center"/>
    </xf>
    <xf numFmtId="0" fontId="1" fillId="2" borderId="58" xfId="0" applyFont="1" applyFill="1" applyBorder="1" applyAlignment="1">
      <alignment horizontal="left" vertical="center"/>
    </xf>
    <xf numFmtId="0" fontId="1" fillId="2" borderId="50" xfId="0" applyFont="1" applyFill="1" applyBorder="1" applyAlignment="1">
      <alignment horizontal="left" vertical="center"/>
    </xf>
    <xf numFmtId="0" fontId="1" fillId="2" borderId="63" xfId="0" applyFont="1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49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9" fillId="6" borderId="47" xfId="0" applyFont="1" applyFill="1" applyBorder="1" applyAlignment="1">
      <alignment horizontal="center" vertical="center"/>
    </xf>
    <xf numFmtId="0" fontId="9" fillId="6" borderId="62" xfId="0" applyFont="1" applyFill="1" applyBorder="1" applyAlignment="1">
      <alignment horizontal="center" vertical="center"/>
    </xf>
    <xf numFmtId="0" fontId="9" fillId="6" borderId="58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6" borderId="40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0" fillId="6" borderId="40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0" fontId="0" fillId="6" borderId="47" xfId="0" applyFill="1" applyBorder="1" applyAlignment="1">
      <alignment horizontal="center"/>
    </xf>
    <xf numFmtId="0" fontId="0" fillId="6" borderId="44" xfId="0" applyFill="1" applyBorder="1" applyAlignment="1">
      <alignment horizontal="center"/>
    </xf>
    <xf numFmtId="9" fontId="0" fillId="8" borderId="39" xfId="0" applyNumberFormat="1" applyFill="1" applyBorder="1" applyAlignment="1">
      <alignment horizontal="center" vertical="center"/>
    </xf>
    <xf numFmtId="9" fontId="0" fillId="8" borderId="17" xfId="0" applyNumberFormat="1" applyFill="1" applyBorder="1" applyAlignment="1">
      <alignment horizontal="center" vertical="center"/>
    </xf>
    <xf numFmtId="9" fontId="0" fillId="8" borderId="15" xfId="0" applyNumberFormat="1" applyFill="1" applyBorder="1" applyAlignment="1">
      <alignment horizontal="center" vertical="center"/>
    </xf>
    <xf numFmtId="0" fontId="0" fillId="2" borderId="39" xfId="0" applyFill="1" applyBorder="1" applyAlignment="1">
      <alignment horizontal="left" vertical="center" indent="1"/>
    </xf>
    <xf numFmtId="0" fontId="0" fillId="2" borderId="17" xfId="0" applyFill="1" applyBorder="1" applyAlignment="1">
      <alignment horizontal="left" vertical="center" indent="1"/>
    </xf>
    <xf numFmtId="0" fontId="0" fillId="2" borderId="15" xfId="0" applyFill="1" applyBorder="1" applyAlignment="1">
      <alignment horizontal="left" vertical="center" indent="1"/>
    </xf>
    <xf numFmtId="2" fontId="0" fillId="8" borderId="39" xfId="0" applyNumberFormat="1" applyFill="1" applyBorder="1" applyAlignment="1" applyProtection="1">
      <alignment horizontal="center" vertical="center"/>
      <protection locked="0"/>
    </xf>
    <xf numFmtId="2" fontId="0" fillId="8" borderId="17" xfId="0" applyNumberFormat="1" applyFill="1" applyBorder="1" applyAlignment="1" applyProtection="1">
      <alignment horizontal="center" vertical="center"/>
      <protection locked="0"/>
    </xf>
    <xf numFmtId="2" fontId="0" fillId="8" borderId="15" xfId="0" applyNumberFormat="1" applyFill="1" applyBorder="1" applyAlignment="1" applyProtection="1">
      <alignment horizontal="center" vertical="center"/>
      <protection locked="0"/>
    </xf>
    <xf numFmtId="1" fontId="0" fillId="8" borderId="49" xfId="0" applyNumberFormat="1" applyFill="1" applyBorder="1" applyAlignment="1" applyProtection="1">
      <alignment horizontal="center" vertical="center"/>
      <protection locked="0"/>
    </xf>
    <xf numFmtId="1" fontId="0" fillId="8" borderId="3" xfId="0" applyNumberFormat="1" applyFill="1" applyBorder="1" applyAlignment="1" applyProtection="1">
      <alignment horizontal="center" vertical="center"/>
      <protection locked="0"/>
    </xf>
    <xf numFmtId="1" fontId="0" fillId="8" borderId="6" xfId="0" applyNumberForma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1" fontId="0" fillId="8" borderId="37" xfId="0" applyNumberFormat="1" applyFill="1" applyBorder="1" applyAlignment="1" applyProtection="1">
      <alignment horizontal="center" vertical="center"/>
      <protection locked="0"/>
    </xf>
    <xf numFmtId="1" fontId="0" fillId="8" borderId="20" xfId="0" applyNumberFormat="1" applyFill="1" applyBorder="1" applyAlignment="1" applyProtection="1">
      <alignment horizontal="center" vertical="center"/>
      <protection locked="0"/>
    </xf>
    <xf numFmtId="1" fontId="0" fillId="8" borderId="21" xfId="0" applyNumberFormat="1" applyFill="1" applyBorder="1" applyAlignment="1" applyProtection="1">
      <alignment horizontal="center" vertical="center"/>
      <protection locked="0"/>
    </xf>
    <xf numFmtId="2" fontId="0" fillId="8" borderId="39" xfId="0" applyNumberFormat="1" applyFill="1" applyBorder="1" applyAlignment="1">
      <alignment horizontal="center" vertical="center"/>
    </xf>
    <xf numFmtId="2" fontId="0" fillId="8" borderId="17" xfId="0" applyNumberFormat="1" applyFill="1" applyBorder="1" applyAlignment="1">
      <alignment horizontal="center" vertical="center"/>
    </xf>
    <xf numFmtId="2" fontId="0" fillId="8" borderId="15" xfId="0" applyNumberFormat="1" applyFill="1" applyBorder="1" applyAlignment="1">
      <alignment horizontal="center" vertical="center"/>
    </xf>
    <xf numFmtId="0" fontId="0" fillId="8" borderId="39" xfId="121" applyNumberFormat="1" applyFont="1" applyFill="1" applyBorder="1" applyAlignment="1">
      <alignment horizontal="center" vertical="center"/>
    </xf>
    <xf numFmtId="0" fontId="0" fillId="8" borderId="17" xfId="121" applyNumberFormat="1" applyFont="1" applyFill="1" applyBorder="1" applyAlignment="1">
      <alignment horizontal="center" vertical="center"/>
    </xf>
    <xf numFmtId="0" fontId="0" fillId="8" borderId="15" xfId="121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textRotation="90" wrapText="1"/>
    </xf>
    <xf numFmtId="168" fontId="0" fillId="3" borderId="48" xfId="0" applyNumberFormat="1" applyFill="1" applyBorder="1" applyAlignment="1" applyProtection="1">
      <alignment horizontal="center" vertical="center"/>
      <protection locked="0"/>
    </xf>
    <xf numFmtId="0" fontId="0" fillId="8" borderId="49" xfId="0" applyNumberFormat="1" applyFill="1" applyBorder="1" applyAlignment="1" applyProtection="1">
      <alignment horizontal="center" vertical="center"/>
      <protection locked="0"/>
    </xf>
    <xf numFmtId="0" fontId="0" fillId="8" borderId="3" xfId="0" applyNumberFormat="1" applyFill="1" applyBorder="1" applyAlignment="1" applyProtection="1">
      <alignment horizontal="center" vertical="center"/>
      <protection locked="0"/>
    </xf>
    <xf numFmtId="0" fontId="0" fillId="8" borderId="6" xfId="0" applyNumberFormat="1" applyFill="1" applyBorder="1" applyAlignment="1" applyProtection="1">
      <alignment horizontal="center" vertical="center"/>
      <protection locked="0"/>
    </xf>
    <xf numFmtId="0" fontId="0" fillId="3" borderId="48" xfId="0" applyFill="1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0" fontId="0" fillId="2" borderId="48" xfId="0" applyFill="1" applyBorder="1" applyAlignment="1">
      <alignment horizontal="left" vertical="center"/>
    </xf>
    <xf numFmtId="0" fontId="0" fillId="2" borderId="44" xfId="0" applyFill="1" applyBorder="1" applyAlignment="1">
      <alignment horizontal="left" vertical="center"/>
    </xf>
    <xf numFmtId="0" fontId="0" fillId="8" borderId="47" xfId="0" applyNumberFormat="1" applyFill="1" applyBorder="1" applyAlignment="1" applyProtection="1">
      <alignment horizontal="center" vertical="center"/>
      <protection locked="0"/>
    </xf>
    <xf numFmtId="0" fontId="0" fillId="8" borderId="48" xfId="0" applyNumberFormat="1" applyFill="1" applyBorder="1" applyAlignment="1" applyProtection="1">
      <alignment horizontal="center" vertical="center"/>
      <protection locked="0"/>
    </xf>
    <xf numFmtId="0" fontId="0" fillId="8" borderId="4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2" borderId="3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68" fontId="0" fillId="3" borderId="0" xfId="0" applyNumberFormat="1" applyFill="1" applyBorder="1" applyAlignment="1">
      <alignment horizontal="center" vertical="center"/>
    </xf>
    <xf numFmtId="169" fontId="0" fillId="8" borderId="39" xfId="0" applyNumberFormat="1" applyFill="1" applyBorder="1" applyAlignment="1">
      <alignment horizontal="center" vertical="center"/>
    </xf>
    <xf numFmtId="169" fontId="0" fillId="8" borderId="17" xfId="0" applyNumberFormat="1" applyFill="1" applyBorder="1" applyAlignment="1">
      <alignment horizontal="center" vertical="center"/>
    </xf>
    <xf numFmtId="169" fontId="0" fillId="8" borderId="15" xfId="0" applyNumberFormat="1" applyFill="1" applyBorder="1" applyAlignment="1">
      <alignment horizontal="center" vertical="center"/>
    </xf>
    <xf numFmtId="1" fontId="0" fillId="8" borderId="3" xfId="0" applyNumberFormat="1" applyFill="1" applyBorder="1" applyAlignment="1">
      <alignment horizontal="center" vertical="center"/>
    </xf>
    <xf numFmtId="1" fontId="0" fillId="8" borderId="6" xfId="0" applyNumberFormat="1" applyFill="1" applyBorder="1" applyAlignment="1">
      <alignment horizontal="center" vertical="center"/>
    </xf>
    <xf numFmtId="0" fontId="0" fillId="8" borderId="37" xfId="0" applyNumberFormat="1" applyFill="1" applyBorder="1" applyAlignment="1" applyProtection="1">
      <alignment horizontal="center" vertical="center"/>
      <protection locked="0"/>
    </xf>
    <xf numFmtId="0" fontId="0" fillId="8" borderId="20" xfId="0" applyNumberFormat="1" applyFill="1" applyBorder="1" applyAlignment="1" applyProtection="1">
      <alignment horizontal="center" vertical="center"/>
      <protection locked="0"/>
    </xf>
    <xf numFmtId="0" fontId="0" fillId="8" borderId="21" xfId="0" applyNumberForma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9" fontId="0" fillId="8" borderId="39" xfId="121" applyFont="1" applyFill="1" applyBorder="1" applyAlignment="1">
      <alignment horizontal="center" vertical="center"/>
    </xf>
    <xf numFmtId="9" fontId="0" fillId="8" borderId="17" xfId="121" applyFont="1" applyFill="1" applyBorder="1" applyAlignment="1">
      <alignment horizontal="center" vertical="center"/>
    </xf>
    <xf numFmtId="9" fontId="0" fillId="8" borderId="15" xfId="121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/>
    </xf>
    <xf numFmtId="0" fontId="9" fillId="6" borderId="15" xfId="0" applyFont="1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1" fillId="2" borderId="60" xfId="0" applyFont="1" applyFill="1" applyBorder="1" applyAlignment="1">
      <alignment horizontal="left" vertical="center"/>
    </xf>
    <xf numFmtId="0" fontId="1" fillId="2" borderId="59" xfId="0" applyFont="1" applyFill="1" applyBorder="1" applyAlignment="1">
      <alignment horizontal="left" vertical="center"/>
    </xf>
    <xf numFmtId="0" fontId="1" fillId="2" borderId="43" xfId="0" applyFont="1" applyFill="1" applyBorder="1" applyAlignment="1">
      <alignment horizontal="left" vertical="center"/>
    </xf>
    <xf numFmtId="0" fontId="9" fillId="6" borderId="40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1" fontId="0" fillId="3" borderId="39" xfId="0" applyNumberFormat="1" applyFill="1" applyBorder="1" applyAlignment="1" applyProtection="1">
      <alignment horizontal="center" vertical="center"/>
      <protection locked="0"/>
    </xf>
    <xf numFmtId="1" fontId="0" fillId="3" borderId="17" xfId="0" applyNumberFormat="1" applyFill="1" applyBorder="1" applyAlignment="1" applyProtection="1">
      <alignment horizontal="center" vertical="center"/>
      <protection locked="0"/>
    </xf>
    <xf numFmtId="1" fontId="0" fillId="3" borderId="15" xfId="0" applyNumberFormat="1" applyFill="1" applyBorder="1" applyAlignment="1" applyProtection="1">
      <alignment horizontal="center" vertical="center"/>
      <protection locked="0"/>
    </xf>
    <xf numFmtId="2" fontId="0" fillId="10" borderId="39" xfId="0" applyNumberFormat="1" applyFill="1" applyBorder="1" applyAlignment="1">
      <alignment horizontal="center" vertical="center"/>
    </xf>
    <xf numFmtId="2" fontId="0" fillId="10" borderId="17" xfId="0" applyNumberFormat="1" applyFill="1" applyBorder="1" applyAlignment="1">
      <alignment horizontal="center" vertical="center"/>
    </xf>
    <xf numFmtId="2" fontId="0" fillId="10" borderId="15" xfId="0" applyNumberFormat="1" applyFill="1" applyBorder="1" applyAlignment="1">
      <alignment horizontal="center" vertical="center"/>
    </xf>
    <xf numFmtId="2" fontId="0" fillId="10" borderId="39" xfId="0" applyNumberFormat="1" applyFill="1" applyBorder="1" applyAlignment="1" applyProtection="1">
      <alignment horizontal="center" vertical="center"/>
      <protection locked="0"/>
    </xf>
    <xf numFmtId="2" fontId="0" fillId="10" borderId="17" xfId="0" applyNumberFormat="1" applyFill="1" applyBorder="1" applyAlignment="1" applyProtection="1">
      <alignment horizontal="center" vertical="center"/>
      <protection locked="0"/>
    </xf>
    <xf numFmtId="2" fontId="0" fillId="10" borderId="15" xfId="0" applyNumberFormat="1" applyFill="1" applyBorder="1" applyAlignment="1" applyProtection="1">
      <alignment horizontal="center" vertical="center"/>
      <protection locked="0"/>
    </xf>
    <xf numFmtId="1" fontId="0" fillId="10" borderId="39" xfId="0" applyNumberFormat="1" applyFill="1" applyBorder="1" applyAlignment="1" applyProtection="1">
      <alignment horizontal="center" vertical="center"/>
      <protection locked="0"/>
    </xf>
    <xf numFmtId="1" fontId="0" fillId="10" borderId="17" xfId="0" applyNumberFormat="1" applyFill="1" applyBorder="1" applyAlignment="1" applyProtection="1">
      <alignment horizontal="center" vertical="center"/>
      <protection locked="0"/>
    </xf>
    <xf numFmtId="1" fontId="0" fillId="10" borderId="15" xfId="0" applyNumberFormat="1" applyFill="1" applyBorder="1" applyAlignment="1" applyProtection="1">
      <alignment horizontal="center" vertical="center"/>
      <protection locked="0"/>
    </xf>
    <xf numFmtId="1" fontId="0" fillId="10" borderId="37" xfId="0" applyNumberFormat="1" applyFill="1" applyBorder="1" applyAlignment="1" applyProtection="1">
      <alignment horizontal="center" vertical="center"/>
      <protection locked="0"/>
    </xf>
    <xf numFmtId="1" fontId="0" fillId="10" borderId="20" xfId="0" applyNumberFormat="1" applyFill="1" applyBorder="1" applyAlignment="1" applyProtection="1">
      <alignment horizontal="center" vertical="center"/>
      <protection locked="0"/>
    </xf>
    <xf numFmtId="1" fontId="0" fillId="10" borderId="21" xfId="0" applyNumberForma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4" fontId="1" fillId="4" borderId="28" xfId="0" applyNumberFormat="1" applyFont="1" applyFill="1" applyBorder="1" applyAlignment="1">
      <alignment horizontal="right"/>
    </xf>
    <xf numFmtId="4" fontId="1" fillId="4" borderId="31" xfId="0" applyNumberFormat="1" applyFont="1" applyFill="1" applyBorder="1" applyAlignment="1">
      <alignment horizontal="right"/>
    </xf>
    <xf numFmtId="0" fontId="1" fillId="2" borderId="36" xfId="0" applyFont="1" applyFill="1" applyBorder="1" applyAlignment="1">
      <alignment horizontal="left" vertical="top" wrapText="1"/>
    </xf>
    <xf numFmtId="0" fontId="1" fillId="2" borderId="22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left" vertical="top" wrapText="1"/>
    </xf>
    <xf numFmtId="0" fontId="0" fillId="2" borderId="40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left" vertical="center"/>
    </xf>
    <xf numFmtId="4" fontId="0" fillId="0" borderId="17" xfId="0" applyNumberFormat="1" applyFont="1" applyFill="1" applyBorder="1" applyAlignment="1">
      <alignment horizontal="right"/>
    </xf>
    <xf numFmtId="4" fontId="0" fillId="0" borderId="18" xfId="0" applyNumberFormat="1" applyFont="1" applyFill="1" applyBorder="1" applyAlignment="1">
      <alignment horizontal="right"/>
    </xf>
    <xf numFmtId="0" fontId="0" fillId="2" borderId="34" xfId="0" applyFont="1" applyFill="1" applyBorder="1" applyAlignment="1">
      <alignment horizontal="left" vertical="center"/>
    </xf>
    <xf numFmtId="0" fontId="0" fillId="2" borderId="24" xfId="0" applyFont="1" applyFill="1" applyBorder="1" applyAlignment="1">
      <alignment horizontal="left" vertical="center"/>
    </xf>
    <xf numFmtId="4" fontId="0" fillId="0" borderId="19" xfId="0" applyNumberFormat="1" applyFont="1" applyFill="1" applyBorder="1" applyAlignment="1">
      <alignment horizontal="right"/>
    </xf>
    <xf numFmtId="4" fontId="0" fillId="0" borderId="24" xfId="0" applyNumberFormat="1" applyFont="1" applyFill="1" applyBorder="1" applyAlignment="1">
      <alignment horizontal="right"/>
    </xf>
    <xf numFmtId="0" fontId="0" fillId="9" borderId="42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4" fontId="1" fillId="2" borderId="30" xfId="0" applyNumberFormat="1" applyFont="1" applyFill="1" applyBorder="1" applyAlignment="1">
      <alignment horizontal="right"/>
    </xf>
    <xf numFmtId="4" fontId="1" fillId="2" borderId="26" xfId="0" applyNumberFormat="1" applyFont="1" applyFill="1" applyBorder="1" applyAlignment="1">
      <alignment horizontal="right"/>
    </xf>
    <xf numFmtId="4" fontId="1" fillId="2" borderId="58" xfId="0" applyNumberFormat="1" applyFont="1" applyFill="1" applyBorder="1" applyAlignment="1">
      <alignment horizontal="right"/>
    </xf>
    <xf numFmtId="4" fontId="1" fillId="2" borderId="50" xfId="0" applyNumberFormat="1" applyFont="1" applyFill="1" applyBorder="1" applyAlignment="1">
      <alignment horizontal="right"/>
    </xf>
    <xf numFmtId="4" fontId="1" fillId="2" borderId="63" xfId="0" applyNumberFormat="1" applyFont="1" applyFill="1" applyBorder="1" applyAlignment="1">
      <alignment horizontal="right"/>
    </xf>
    <xf numFmtId="4" fontId="1" fillId="2" borderId="20" xfId="0" applyNumberFormat="1" applyFont="1" applyFill="1" applyBorder="1" applyAlignment="1">
      <alignment horizontal="right"/>
    </xf>
    <xf numFmtId="4" fontId="1" fillId="2" borderId="21" xfId="0" applyNumberFormat="1" applyFont="1" applyFill="1" applyBorder="1" applyAlignment="1">
      <alignment horizontal="right"/>
    </xf>
    <xf numFmtId="4" fontId="1" fillId="2" borderId="32" xfId="0" applyNumberFormat="1" applyFont="1" applyFill="1" applyBorder="1" applyAlignment="1">
      <alignment horizontal="right"/>
    </xf>
    <xf numFmtId="0" fontId="1" fillId="2" borderId="30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left" vertical="center"/>
    </xf>
    <xf numFmtId="4" fontId="0" fillId="0" borderId="20" xfId="0" applyNumberFormat="1" applyFont="1" applyFill="1" applyBorder="1" applyAlignment="1">
      <alignment horizontal="right"/>
    </xf>
    <xf numFmtId="4" fontId="0" fillId="0" borderId="23" xfId="0" applyNumberFormat="1" applyFont="1" applyFill="1" applyBorder="1" applyAlignment="1">
      <alignment horizontal="right"/>
    </xf>
    <xf numFmtId="4" fontId="0" fillId="0" borderId="40" xfId="0" applyNumberFormat="1" applyFont="1" applyFill="1" applyBorder="1" applyAlignment="1">
      <alignment horizontal="right"/>
    </xf>
    <xf numFmtId="0" fontId="1" fillId="2" borderId="41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4" fontId="0" fillId="0" borderId="41" xfId="0" applyNumberFormat="1" applyFont="1" applyFill="1" applyBorder="1" applyAlignment="1">
      <alignment horizontal="right"/>
    </xf>
    <xf numFmtId="4" fontId="0" fillId="0" borderId="3" xfId="0" applyNumberFormat="1" applyFont="1" applyFill="1" applyBorder="1" applyAlignment="1">
      <alignment horizontal="right"/>
    </xf>
    <xf numFmtId="4" fontId="0" fillId="0" borderId="7" xfId="0" applyNumberFormat="1" applyFont="1" applyFill="1" applyBorder="1" applyAlignment="1">
      <alignment horizontal="right"/>
    </xf>
    <xf numFmtId="0" fontId="1" fillId="2" borderId="34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4" fontId="1" fillId="4" borderId="34" xfId="0" applyNumberFormat="1" applyFont="1" applyFill="1" applyBorder="1" applyAlignment="1">
      <alignment horizontal="right"/>
    </xf>
    <xf numFmtId="4" fontId="1" fillId="4" borderId="19" xfId="0" applyNumberFormat="1" applyFont="1" applyFill="1" applyBorder="1" applyAlignment="1">
      <alignment horizontal="right"/>
    </xf>
    <xf numFmtId="4" fontId="1" fillId="4" borderId="24" xfId="0" applyNumberFormat="1" applyFont="1" applyFill="1" applyBorder="1" applyAlignment="1">
      <alignment horizontal="right"/>
    </xf>
    <xf numFmtId="3" fontId="0" fillId="9" borderId="42" xfId="0" applyNumberFormat="1" applyFont="1" applyFill="1" applyBorder="1" applyAlignment="1">
      <alignment horizontal="center" vertical="center"/>
    </xf>
    <xf numFmtId="3" fontId="0" fillId="9" borderId="1" xfId="0" applyNumberFormat="1" applyFont="1" applyFill="1" applyBorder="1" applyAlignment="1">
      <alignment horizontal="center" vertical="center"/>
    </xf>
    <xf numFmtId="4" fontId="0" fillId="9" borderId="64" xfId="0" applyNumberFormat="1" applyFill="1" applyBorder="1" applyAlignment="1" applyProtection="1">
      <alignment horizontal="center" vertical="center"/>
      <protection locked="0"/>
    </xf>
    <xf numFmtId="4" fontId="0" fillId="9" borderId="65" xfId="0" applyNumberFormat="1" applyFill="1" applyBorder="1" applyAlignment="1" applyProtection="1">
      <alignment horizontal="center" vertical="center"/>
      <protection locked="0"/>
    </xf>
    <xf numFmtId="4" fontId="0" fillId="9" borderId="66" xfId="0" applyNumberFormat="1" applyFill="1" applyBorder="1" applyAlignment="1" applyProtection="1">
      <alignment horizontal="center" vertical="center"/>
      <protection locked="0"/>
    </xf>
    <xf numFmtId="4" fontId="0" fillId="9" borderId="42" xfId="0" applyNumberFormat="1" applyFill="1" applyBorder="1" applyAlignment="1" applyProtection="1">
      <alignment horizontal="center" vertical="center"/>
      <protection locked="0"/>
    </xf>
    <xf numFmtId="4" fontId="0" fillId="9" borderId="1" xfId="0" applyNumberFormat="1" applyFill="1" applyBorder="1" applyAlignment="1" applyProtection="1">
      <alignment horizontal="center" vertical="center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0" fontId="1" fillId="2" borderId="37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4" fontId="1" fillId="4" borderId="37" xfId="0" applyNumberFormat="1" applyFont="1" applyFill="1" applyBorder="1" applyAlignment="1">
      <alignment horizontal="right"/>
    </xf>
    <xf numFmtId="0" fontId="1" fillId="2" borderId="47" xfId="0" applyFont="1" applyFill="1" applyBorder="1" applyAlignment="1">
      <alignment horizontal="left" vertical="top" wrapText="1"/>
    </xf>
    <xf numFmtId="0" fontId="1" fillId="2" borderId="48" xfId="0" applyFont="1" applyFill="1" applyBorder="1" applyAlignment="1">
      <alignment horizontal="left" vertical="top" wrapText="1"/>
    </xf>
    <xf numFmtId="0" fontId="1" fillId="2" borderId="44" xfId="0" applyFont="1" applyFill="1" applyBorder="1" applyAlignment="1">
      <alignment horizontal="left" vertical="top" wrapText="1"/>
    </xf>
    <xf numFmtId="0" fontId="0" fillId="2" borderId="37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horizontal="left" vertical="center"/>
    </xf>
    <xf numFmtId="4" fontId="0" fillId="0" borderId="37" xfId="0" applyNumberFormat="1" applyFont="1" applyFill="1" applyBorder="1" applyAlignment="1">
      <alignment horizontal="right"/>
    </xf>
    <xf numFmtId="4" fontId="0" fillId="0" borderId="21" xfId="0" applyNumberFormat="1" applyFont="1" applyFill="1" applyBorder="1" applyAlignment="1">
      <alignment horizontal="right"/>
    </xf>
    <xf numFmtId="0" fontId="0" fillId="2" borderId="38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left" vertical="center"/>
    </xf>
    <xf numFmtId="4" fontId="0" fillId="0" borderId="38" xfId="0" applyNumberFormat="1" applyFont="1" applyFill="1" applyBorder="1" applyAlignment="1">
      <alignment horizontal="right"/>
    </xf>
    <xf numFmtId="4" fontId="0" fillId="0" borderId="16" xfId="0" applyNumberFormat="1" applyFont="1" applyFill="1" applyBorder="1" applyAlignment="1">
      <alignment horizontal="right"/>
    </xf>
    <xf numFmtId="0" fontId="1" fillId="2" borderId="34" xfId="0" applyFont="1" applyFill="1" applyBorder="1" applyAlignment="1" applyProtection="1">
      <alignment horizontal="left"/>
    </xf>
    <xf numFmtId="0" fontId="1" fillId="2" borderId="16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0" fillId="2" borderId="55" xfId="0" applyFill="1" applyBorder="1" applyAlignment="1" applyProtection="1">
      <alignment horizontal="center" vertical="center"/>
    </xf>
    <xf numFmtId="0" fontId="0" fillId="2" borderId="51" xfId="0" applyFill="1" applyBorder="1" applyAlignment="1" applyProtection="1">
      <alignment horizontal="center" vertical="center"/>
    </xf>
    <xf numFmtId="0" fontId="0" fillId="2" borderId="56" xfId="0" applyFill="1" applyBorder="1" applyAlignment="1" applyProtection="1">
      <alignment horizontal="center" vertical="center"/>
    </xf>
    <xf numFmtId="4" fontId="0" fillId="3" borderId="0" xfId="0" applyNumberFormat="1" applyFill="1" applyBorder="1" applyAlignment="1" applyProtection="1">
      <alignment horizontal="center" vertical="center"/>
    </xf>
    <xf numFmtId="0" fontId="1" fillId="2" borderId="37" xfId="0" applyFont="1" applyFill="1" applyBorder="1" applyAlignment="1" applyProtection="1">
      <alignment horizontal="left"/>
    </xf>
    <xf numFmtId="0" fontId="1" fillId="2" borderId="20" xfId="0" applyFont="1" applyFill="1" applyBorder="1" applyAlignment="1" applyProtection="1">
      <alignment horizontal="left"/>
    </xf>
    <xf numFmtId="0" fontId="1" fillId="2" borderId="39" xfId="0" applyFont="1" applyFill="1" applyBorder="1" applyAlignment="1" applyProtection="1">
      <alignment horizontal="left"/>
    </xf>
    <xf numFmtId="0" fontId="1" fillId="2" borderId="17" xfId="0" applyFont="1" applyFill="1" applyBorder="1" applyAlignment="1" applyProtection="1">
      <alignment horizontal="left"/>
    </xf>
    <xf numFmtId="4" fontId="0" fillId="9" borderId="64" xfId="0" applyNumberFormat="1" applyFill="1" applyBorder="1" applyAlignment="1" applyProtection="1">
      <alignment horizontal="center" vertical="center"/>
    </xf>
    <xf numFmtId="4" fontId="0" fillId="9" borderId="65" xfId="0" applyNumberFormat="1" applyFill="1" applyBorder="1" applyAlignment="1" applyProtection="1">
      <alignment horizontal="center" vertical="center"/>
    </xf>
    <xf numFmtId="4" fontId="0" fillId="9" borderId="66" xfId="0" applyNumberFormat="1" applyFill="1" applyBorder="1" applyAlignment="1" applyProtection="1">
      <alignment horizontal="center" vertical="center"/>
    </xf>
  </cellXfs>
  <cellStyles count="123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2" builtinId="8"/>
    <cellStyle name="Prozent" xfId="121" builtinId="5"/>
    <cellStyle name="Standard" xfId="0" builtinId="0"/>
  </cellStyles>
  <dxfs count="1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1"/>
      </font>
      <fill>
        <patternFill>
          <bgColor rgb="FFFFEB9C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EB9C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9" defaultPivotStyle="PivotStyleMedium7"/>
  <colors>
    <mruColors>
      <color rgb="FFB9F5E7"/>
      <color rgb="FF179C7D"/>
      <color rgb="FFFFF7E1"/>
      <color rgb="FFE6E6E6"/>
      <color rgb="FFE2E2E2"/>
      <color rgb="FFF7F7F7"/>
      <color rgb="FFFF6600"/>
      <color rgb="FF1FD3A8"/>
      <color rgb="FFD4D5C9"/>
      <color rgb="FFAB1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image" Target="../../ppt/media/image14.svg"/><Relationship Id="rId3" Type="http://schemas.openxmlformats.org/officeDocument/2006/relationships/image" Target="../../ppt/media/image4.svg"/><Relationship Id="rId7" Type="http://schemas.openxmlformats.org/officeDocument/2006/relationships/image" Target="../media/image4.png"/><Relationship Id="rId12" Type="http://schemas.openxmlformats.org/officeDocument/2006/relationships/image" Target="../../ppt/media/image13.svg"/><Relationship Id="rId33" Type="http://schemas.openxmlformats.org/officeDocument/2006/relationships/image" Target="../../ppt/media/image34.svg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image" Target="../../ppt/media/image6.svg"/><Relationship Id="rId4" Type="http://schemas.openxmlformats.org/officeDocument/2006/relationships/image" Target="../media/image2.png"/><Relationship Id="rId9" Type="http://schemas.openxmlformats.org/officeDocument/2006/relationships/image" Target="../media/image6.png"/><Relationship Id="rId1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10</xdr:row>
      <xdr:rowOff>112058</xdr:rowOff>
    </xdr:from>
    <xdr:to>
      <xdr:col>6</xdr:col>
      <xdr:colOff>874060</xdr:colOff>
      <xdr:row>19</xdr:row>
      <xdr:rowOff>101707</xdr:rowOff>
    </xdr:to>
    <xdr:grpSp>
      <xdr:nvGrpSpPr>
        <xdr:cNvPr id="122" name="Gruppieren 121"/>
        <xdr:cNvGrpSpPr/>
      </xdr:nvGrpSpPr>
      <xdr:grpSpPr>
        <a:xfrm>
          <a:off x="489858" y="2438879"/>
          <a:ext cx="8983916" cy="1704149"/>
          <a:chOff x="217487" y="894296"/>
          <a:chExt cx="9525241" cy="1806189"/>
        </a:xfrm>
      </xdr:grpSpPr>
      <xdr:cxnSp macro="">
        <xdr:nvCxnSpPr>
          <xdr:cNvPr id="124" name="Gerade Verbindung mit Pfeil 123"/>
          <xdr:cNvCxnSpPr>
            <a:stCxn id="174" idx="3"/>
            <a:endCxn id="172" idx="1"/>
          </xdr:cNvCxnSpPr>
        </xdr:nvCxnSpPr>
        <xdr:spPr bwMode="auto">
          <a:xfrm>
            <a:off x="2101331" y="1536073"/>
            <a:ext cx="1158639" cy="2"/>
          </a:xfrm>
          <a:prstGeom prst="straightConnector1">
            <a:avLst/>
          </a:prstGeom>
          <a:solidFill>
            <a:srgbClr val="DDDDDD"/>
          </a:solidFill>
          <a:ln w="9525" cap="flat" cmpd="sng" algn="ctr">
            <a:solidFill>
              <a:srgbClr val="FF6600"/>
            </a:solidFill>
            <a:prstDash val="solid"/>
            <a:round/>
            <a:headEnd type="none" w="med" len="med"/>
            <a:tailEnd type="triangle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26" name="Gerade Verbindung mit Pfeil 125"/>
          <xdr:cNvCxnSpPr>
            <a:stCxn id="172" idx="3"/>
            <a:endCxn id="170" idx="1"/>
          </xdr:cNvCxnSpPr>
        </xdr:nvCxnSpPr>
        <xdr:spPr bwMode="auto">
          <a:xfrm>
            <a:off x="4339970" y="1536075"/>
            <a:ext cx="1158639" cy="0"/>
          </a:xfrm>
          <a:prstGeom prst="straightConnector1">
            <a:avLst/>
          </a:prstGeom>
          <a:solidFill>
            <a:srgbClr val="DDDDDD"/>
          </a:solidFill>
          <a:ln w="9525" cap="flat" cmpd="sng" algn="ctr">
            <a:solidFill>
              <a:srgbClr val="FF6600"/>
            </a:solidFill>
            <a:prstDash val="solid"/>
            <a:round/>
            <a:headEnd type="none" w="med" len="med"/>
            <a:tailEnd type="triangle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27" name="Gerade Verbindung mit Pfeil 126"/>
          <xdr:cNvCxnSpPr>
            <a:stCxn id="170" idx="3"/>
            <a:endCxn id="168" idx="1"/>
          </xdr:cNvCxnSpPr>
        </xdr:nvCxnSpPr>
        <xdr:spPr bwMode="auto">
          <a:xfrm>
            <a:off x="6578609" y="1536075"/>
            <a:ext cx="1158640" cy="0"/>
          </a:xfrm>
          <a:prstGeom prst="straightConnector1">
            <a:avLst/>
          </a:prstGeom>
          <a:solidFill>
            <a:srgbClr val="DDDDDD"/>
          </a:solidFill>
          <a:ln w="9525" cap="flat" cmpd="sng" algn="ctr">
            <a:solidFill>
              <a:srgbClr val="FF6600"/>
            </a:solidFill>
            <a:prstDash val="solid"/>
            <a:round/>
            <a:headEnd type="none" w="med" len="med"/>
            <a:tailEnd type="triangle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grpSp>
        <xdr:nvGrpSpPr>
          <xdr:cNvPr id="129" name="Gruppieren 128">
            <a:extLst>
              <a:ext uri="{FF2B5EF4-FFF2-40B4-BE49-F238E27FC236}">
                <a16:creationId xmlns:a16="http://schemas.microsoft.com/office/drawing/2014/main" id="{7998A39B-8896-4C24-A863-F2B3E37605EA}"/>
              </a:ext>
            </a:extLst>
          </xdr:cNvPr>
          <xdr:cNvGrpSpPr>
            <a:grpSpLocks noChangeAspect="1"/>
          </xdr:cNvGrpSpPr>
        </xdr:nvGrpSpPr>
        <xdr:grpSpPr>
          <a:xfrm>
            <a:off x="4739290" y="1356074"/>
            <a:ext cx="360000" cy="360000"/>
            <a:chOff x="5323096" y="3023633"/>
            <a:chExt cx="288000" cy="288000"/>
          </a:xfrm>
        </xdr:grpSpPr>
        <xdr:sp macro="" textlink="">
          <xdr:nvSpPr>
            <xdr:cNvPr id="178" name="Rechteck 177">
              <a:extLst>
                <a:ext uri="{FF2B5EF4-FFF2-40B4-BE49-F238E27FC236}">
                  <a16:creationId xmlns:a16="http://schemas.microsoft.com/office/drawing/2014/main" id="{1E5974CA-BF35-4A48-B1FB-A1AC6D22A944}"/>
                </a:ext>
              </a:extLst>
            </xdr:cNvPr>
            <xdr:cNvSpPr/>
          </xdr:nvSpPr>
          <xdr:spPr bwMode="auto">
            <a:xfrm>
              <a:off x="5323096" y="3023633"/>
              <a:ext cx="288000" cy="288000"/>
            </a:xfrm>
            <a:prstGeom prst="rect">
              <a:avLst/>
            </a:prstGeom>
            <a:solidFill>
              <a:sysClr val="window" lastClr="FFFFFF"/>
            </a:solidFill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  <xdr:pic>
          <xdr:nvPicPr>
            <xdr:cNvPr id="179" name="Grafik 178">
              <a:extLst>
                <a:ext uri="{FF2B5EF4-FFF2-40B4-BE49-F238E27FC236}">
                  <a16:creationId xmlns:a16="http://schemas.microsoft.com/office/drawing/2014/main" id="{A9437884-0F65-4FB4-9613-2CE35420029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p="http://schemas.openxmlformats.org/presentationml/2006/main" xmlns:asvg="http://schemas.microsoft.com/office/drawing/2016/SVG/main" xmlns="" xmlns:lc="http://schemas.openxmlformats.org/drawingml/2006/lockedCanvas" r:embed="rId3"/>
                </a:ext>
              </a:extLst>
            </a:blip>
            <a:stretch>
              <a:fillRect/>
            </a:stretch>
          </xdr:blipFill>
          <xdr:spPr>
            <a:xfrm rot="5400000">
              <a:off x="5346240" y="3046776"/>
              <a:ext cx="241715" cy="241715"/>
            </a:xfrm>
            <a:prstGeom prst="rect">
              <a:avLst/>
            </a:prstGeom>
          </xdr:spPr>
        </xdr:pic>
      </xdr:grpSp>
      <xdr:cxnSp macro="">
        <xdr:nvCxnSpPr>
          <xdr:cNvPr id="130" name="Gerade Verbindung mit Pfeil 129"/>
          <xdr:cNvCxnSpPr/>
        </xdr:nvCxnSpPr>
        <xdr:spPr bwMode="auto">
          <a:xfrm>
            <a:off x="8817249" y="1536074"/>
            <a:ext cx="803843" cy="0"/>
          </a:xfrm>
          <a:prstGeom prst="straightConnector1">
            <a:avLst/>
          </a:prstGeom>
          <a:solidFill>
            <a:srgbClr val="DDDDDD"/>
          </a:solidFill>
          <a:ln w="9525" cap="flat" cmpd="sng" algn="ctr">
            <a:solidFill>
              <a:srgbClr val="FF6600"/>
            </a:solidFill>
            <a:prstDash val="solid"/>
            <a:round/>
            <a:headEnd type="none" w="med" len="med"/>
            <a:tailEnd type="triangle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grpSp>
        <xdr:nvGrpSpPr>
          <xdr:cNvPr id="131" name="Gruppieren 130">
            <a:extLst>
              <a:ext uri="{FF2B5EF4-FFF2-40B4-BE49-F238E27FC236}">
                <a16:creationId xmlns:a16="http://schemas.microsoft.com/office/drawing/2014/main" id="{6C66A8FF-67CC-4EDC-88F2-CE7474EF472E}"/>
              </a:ext>
            </a:extLst>
          </xdr:cNvPr>
          <xdr:cNvGrpSpPr>
            <a:grpSpLocks noChangeAspect="1"/>
          </xdr:cNvGrpSpPr>
        </xdr:nvGrpSpPr>
        <xdr:grpSpPr>
          <a:xfrm>
            <a:off x="9039171" y="1356074"/>
            <a:ext cx="360000" cy="360000"/>
            <a:chOff x="9293090" y="3202673"/>
            <a:chExt cx="288000" cy="288000"/>
          </a:xfrm>
        </xdr:grpSpPr>
        <xdr:sp macro="" textlink="">
          <xdr:nvSpPr>
            <xdr:cNvPr id="176" name="Rechteck 175">
              <a:extLst>
                <a:ext uri="{FF2B5EF4-FFF2-40B4-BE49-F238E27FC236}">
                  <a16:creationId xmlns:a16="http://schemas.microsoft.com/office/drawing/2014/main" id="{6C9C741F-4E67-46B5-825B-CAADFB8C8E9D}"/>
                </a:ext>
              </a:extLst>
            </xdr:cNvPr>
            <xdr:cNvSpPr/>
          </xdr:nvSpPr>
          <xdr:spPr bwMode="auto">
            <a:xfrm>
              <a:off x="9293090" y="3202673"/>
              <a:ext cx="288000" cy="288000"/>
            </a:xfrm>
            <a:prstGeom prst="rect">
              <a:avLst/>
            </a:prstGeom>
            <a:solidFill>
              <a:sysClr val="window" lastClr="FFFFFF"/>
            </a:solidFill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  <xdr:pic>
          <xdr:nvPicPr>
            <xdr:cNvPr id="177" name="Grafik 176">
              <a:extLst>
                <a:ext uri="{FF2B5EF4-FFF2-40B4-BE49-F238E27FC236}">
                  <a16:creationId xmlns:a16="http://schemas.microsoft.com/office/drawing/2014/main" id="{A53D7D5D-1823-44BF-A3A4-AC4531270EC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p="http://schemas.openxmlformats.org/presentationml/2006/main" xmlns:asvg="http://schemas.microsoft.com/office/drawing/2016/SVG/main" xmlns="" xmlns:lc="http://schemas.openxmlformats.org/drawingml/2006/lockedCanvas" r:embed="rId5"/>
                </a:ext>
              </a:extLst>
            </a:blip>
            <a:stretch>
              <a:fillRect/>
            </a:stretch>
          </xdr:blipFill>
          <xdr:spPr>
            <a:xfrm>
              <a:off x="9316231" y="3225815"/>
              <a:ext cx="241715" cy="241715"/>
            </a:xfrm>
            <a:prstGeom prst="rect">
              <a:avLst/>
            </a:prstGeom>
          </xdr:spPr>
        </xdr:pic>
      </xdr:grpSp>
      <xdr:sp macro="" textlink="">
        <xdr:nvSpPr>
          <xdr:cNvPr id="132" name="Rechteck 131"/>
          <xdr:cNvSpPr/>
        </xdr:nvSpPr>
        <xdr:spPr bwMode="auto">
          <a:xfrm>
            <a:off x="1977264" y="2068685"/>
            <a:ext cx="1406772" cy="631800"/>
          </a:xfrm>
          <a:prstGeom prst="rect">
            <a:avLst/>
          </a:prstGeom>
          <a:noFill/>
          <a:ln w="2857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t" anchorCtr="0" compatLnSpc="1">
            <a:prstTxWarp prst="textNoShape">
              <a:avLst/>
            </a:prstTxWarp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marL="0" marR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n-US" sz="1400" b="0" i="0" u="none" strike="noStrike" cap="none" normalizeH="0" baseline="0">
              <a:ln>
                <a:noFill/>
              </a:ln>
              <a:solidFill>
                <a:srgbClr val="000000"/>
              </a:solidFill>
              <a:effectLst/>
              <a:latin typeface="Frutiger LT Com 45 Light"/>
            </a:endParaRPr>
          </a:p>
        </xdr:txBody>
      </xdr:sp>
      <xdr:sp macro="" textlink="">
        <xdr:nvSpPr>
          <xdr:cNvPr id="136" name="Rechteck 135"/>
          <xdr:cNvSpPr/>
        </xdr:nvSpPr>
        <xdr:spPr bwMode="auto">
          <a:xfrm>
            <a:off x="4215904" y="2059715"/>
            <a:ext cx="1406772" cy="640769"/>
          </a:xfrm>
          <a:prstGeom prst="rect">
            <a:avLst/>
          </a:prstGeom>
          <a:noFill/>
          <a:ln w="2857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t" anchorCtr="0" compatLnSpc="1">
            <a:prstTxWarp prst="textNoShape">
              <a:avLst/>
            </a:prstTxWarp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marL="0" marR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n-US" sz="1400" b="0" i="0" u="none" strike="noStrike" cap="none" normalizeH="0" baseline="0">
              <a:ln>
                <a:noFill/>
              </a:ln>
              <a:solidFill>
                <a:srgbClr val="000000"/>
              </a:solidFill>
              <a:effectLst/>
              <a:latin typeface="Frutiger LT Com 45 Light"/>
            </a:endParaRPr>
          </a:p>
        </xdr:txBody>
      </xdr:sp>
      <xdr:sp macro="" textlink="">
        <xdr:nvSpPr>
          <xdr:cNvPr id="139" name="Rechteck 138"/>
          <xdr:cNvSpPr/>
        </xdr:nvSpPr>
        <xdr:spPr bwMode="auto">
          <a:xfrm>
            <a:off x="6454541" y="2059715"/>
            <a:ext cx="1406772" cy="640769"/>
          </a:xfrm>
          <a:prstGeom prst="rect">
            <a:avLst/>
          </a:prstGeom>
          <a:noFill/>
          <a:ln w="2857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t" anchorCtr="0" compatLnSpc="1">
            <a:prstTxWarp prst="textNoShape">
              <a:avLst/>
            </a:prstTxWarp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marL="0" marR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n-US" sz="1400" b="0" i="0" u="none" strike="noStrike" cap="none" normalizeH="0" baseline="0">
              <a:ln>
                <a:noFill/>
              </a:ln>
              <a:solidFill>
                <a:srgbClr val="000000"/>
              </a:solidFill>
              <a:effectLst/>
              <a:latin typeface="Frutiger LT Com 45 Light"/>
            </a:endParaRPr>
          </a:p>
        </xdr:txBody>
      </xdr:sp>
      <xdr:sp macro="" textlink="">
        <xdr:nvSpPr>
          <xdr:cNvPr id="141" name="Abgerundetes Rechteck 140"/>
          <xdr:cNvSpPr/>
        </xdr:nvSpPr>
        <xdr:spPr bwMode="auto">
          <a:xfrm>
            <a:off x="1021331" y="1159315"/>
            <a:ext cx="1080000" cy="1080000"/>
          </a:xfrm>
          <a:prstGeom prst="roundRect">
            <a:avLst>
              <a:gd name="adj" fmla="val 7143"/>
            </a:avLst>
          </a:prstGeom>
          <a:solidFill>
            <a:srgbClr val="179C7D"/>
          </a:solidFill>
          <a:ln w="9525" cap="flat" cmpd="sng" algn="ctr">
            <a:solidFill>
              <a:srgbClr val="179C7D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0" tIns="45720" rIns="0" bIns="18000" numCol="1" rtlCol="0" anchor="b" anchorCtr="0" compatLnSpc="1">
            <a:prstTxWarp prst="textNoShape">
              <a:avLst/>
            </a:prstTxWarp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lvl="0" algn="ctr" fontAlgn="base">
              <a:spcBef>
                <a:spcPct val="0"/>
              </a:spcBef>
              <a:spcAft>
                <a:spcPct val="0"/>
              </a:spcAft>
            </a:pPr>
            <a:r>
              <a:rPr lang="de-DE" sz="1100">
                <a:solidFill>
                  <a:sysClr val="window" lastClr="FFFFFF"/>
                </a:solidFill>
                <a:latin typeface="Frutiger LT Com 45 Light"/>
              </a:rPr>
              <a:t>Mechanische Zerstückelung</a:t>
            </a:r>
          </a:p>
        </xdr:txBody>
      </xdr:sp>
      <xdr:grpSp>
        <xdr:nvGrpSpPr>
          <xdr:cNvPr id="142" name="Gruppieren 141">
            <a:extLst>
              <a:ext uri="{FF2B5EF4-FFF2-40B4-BE49-F238E27FC236}">
                <a16:creationId xmlns:a16="http://schemas.microsoft.com/office/drawing/2014/main" id="{EC9B83E8-EC7F-4E0A-87CD-D8FD86E2216E}"/>
              </a:ext>
            </a:extLst>
          </xdr:cNvPr>
          <xdr:cNvGrpSpPr/>
        </xdr:nvGrpSpPr>
        <xdr:grpSpPr>
          <a:xfrm>
            <a:off x="1021331" y="1372832"/>
            <a:ext cx="1080000" cy="652966"/>
            <a:chOff x="2101331" y="2795238"/>
            <a:chExt cx="1080000" cy="1080000"/>
          </a:xfrm>
          <a:noFill/>
        </xdr:grpSpPr>
        <xdr:sp macro="" textlink="">
          <xdr:nvSpPr>
            <xdr:cNvPr id="174" name="Rechteck 173">
              <a:extLst>
                <a:ext uri="{FF2B5EF4-FFF2-40B4-BE49-F238E27FC236}">
                  <a16:creationId xmlns:a16="http://schemas.microsoft.com/office/drawing/2014/main" id="{35FB3A4F-8646-4BE6-9EFB-CF6AA27FC99C}"/>
                </a:ext>
              </a:extLst>
            </xdr:cNvPr>
            <xdr:cNvSpPr/>
          </xdr:nvSpPr>
          <xdr:spPr bwMode="auto">
            <a:xfrm>
              <a:off x="2101331" y="2795238"/>
              <a:ext cx="1080000" cy="539997"/>
            </a:xfrm>
            <a:prstGeom prst="rect">
              <a:avLst/>
            </a:prstGeom>
            <a:grpFill/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  <xdr:sp macro="" textlink="">
          <xdr:nvSpPr>
            <xdr:cNvPr id="175" name="Rechteck 174">
              <a:extLst>
                <a:ext uri="{FF2B5EF4-FFF2-40B4-BE49-F238E27FC236}">
                  <a16:creationId xmlns:a16="http://schemas.microsoft.com/office/drawing/2014/main" id="{73820A0D-70C7-4B8F-8A89-D083644AB7F3}"/>
                </a:ext>
              </a:extLst>
            </xdr:cNvPr>
            <xdr:cNvSpPr/>
          </xdr:nvSpPr>
          <xdr:spPr bwMode="auto">
            <a:xfrm>
              <a:off x="2101331" y="3335241"/>
              <a:ext cx="1080000" cy="539997"/>
            </a:xfrm>
            <a:prstGeom prst="rect">
              <a:avLst/>
            </a:prstGeom>
            <a:grpFill/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</xdr:grpSp>
      <xdr:sp macro="" textlink="">
        <xdr:nvSpPr>
          <xdr:cNvPr id="143" name="Abgerundetes Rechteck 142"/>
          <xdr:cNvSpPr/>
        </xdr:nvSpPr>
        <xdr:spPr bwMode="auto">
          <a:xfrm>
            <a:off x="3259970" y="1159315"/>
            <a:ext cx="1080000" cy="1080000"/>
          </a:xfrm>
          <a:prstGeom prst="roundRect">
            <a:avLst>
              <a:gd name="adj" fmla="val 7143"/>
            </a:avLst>
          </a:prstGeom>
          <a:solidFill>
            <a:srgbClr val="179C7D"/>
          </a:solidFill>
          <a:ln w="9525" cap="flat" cmpd="sng" algn="ctr">
            <a:solidFill>
              <a:srgbClr val="179C7D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0" tIns="45720" rIns="0" bIns="18000" numCol="1" rtlCol="0" anchor="b" anchorCtr="0" compatLnSpc="1">
            <a:prstTxWarp prst="textNoShape">
              <a:avLst/>
            </a:prstTxWarp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lvl="0" algn="ctr" fontAlgn="base">
              <a:spcBef>
                <a:spcPct val="0"/>
              </a:spcBef>
              <a:spcAft>
                <a:spcPct val="0"/>
              </a:spcAft>
            </a:pPr>
            <a:r>
              <a:rPr lang="de-DE" sz="1100">
                <a:solidFill>
                  <a:sysClr val="window" lastClr="FFFFFF"/>
                </a:solidFill>
                <a:latin typeface="Frutiger LT Com 45 Light"/>
              </a:rPr>
              <a:t>Sensorgestützte Sortierung</a:t>
            </a:r>
          </a:p>
        </xdr:txBody>
      </xdr:sp>
      <xdr:pic>
        <xdr:nvPicPr>
          <xdr:cNvPr id="144" name="Grafik 143" descr="Ein Bild, das Schild, Zeichnung, Hemd enthält.&#10;&#10;Automatisch generierte Beschreibung">
            <a:extLst>
              <a:ext uri="{FF2B5EF4-FFF2-40B4-BE49-F238E27FC236}">
                <a16:creationId xmlns:a16="http://schemas.microsoft.com/office/drawing/2014/main" id="{33FFA7E4-17F9-416A-BF54-9E8FA7B07E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45" y="1290073"/>
            <a:ext cx="506650" cy="506650"/>
          </a:xfrm>
          <a:prstGeom prst="rect">
            <a:avLst/>
          </a:prstGeom>
        </xdr:spPr>
      </xdr:pic>
      <xdr:grpSp>
        <xdr:nvGrpSpPr>
          <xdr:cNvPr id="145" name="Gruppieren 144">
            <a:extLst>
              <a:ext uri="{FF2B5EF4-FFF2-40B4-BE49-F238E27FC236}">
                <a16:creationId xmlns:a16="http://schemas.microsoft.com/office/drawing/2014/main" id="{AD9BB98D-4ECA-448D-AF89-8C86C77290EA}"/>
              </a:ext>
            </a:extLst>
          </xdr:cNvPr>
          <xdr:cNvGrpSpPr/>
        </xdr:nvGrpSpPr>
        <xdr:grpSpPr>
          <a:xfrm>
            <a:off x="3259970" y="1372835"/>
            <a:ext cx="1080000" cy="652960"/>
            <a:chOff x="3957190" y="3467536"/>
            <a:chExt cx="1080000" cy="1079994"/>
          </a:xfrm>
          <a:noFill/>
        </xdr:grpSpPr>
        <xdr:sp macro="" textlink="">
          <xdr:nvSpPr>
            <xdr:cNvPr id="172" name="Rechteck 171">
              <a:extLst>
                <a:ext uri="{FF2B5EF4-FFF2-40B4-BE49-F238E27FC236}">
                  <a16:creationId xmlns:a16="http://schemas.microsoft.com/office/drawing/2014/main" id="{3B1BA29F-D1F6-4847-839F-99FA723F0217}"/>
                </a:ext>
              </a:extLst>
            </xdr:cNvPr>
            <xdr:cNvSpPr/>
          </xdr:nvSpPr>
          <xdr:spPr bwMode="auto">
            <a:xfrm>
              <a:off x="3957190" y="3467536"/>
              <a:ext cx="1080000" cy="539997"/>
            </a:xfrm>
            <a:prstGeom prst="rect">
              <a:avLst/>
            </a:prstGeom>
            <a:grpFill/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  <xdr:sp macro="" textlink="">
          <xdr:nvSpPr>
            <xdr:cNvPr id="173" name="Rechteck 172">
              <a:extLst>
                <a:ext uri="{FF2B5EF4-FFF2-40B4-BE49-F238E27FC236}">
                  <a16:creationId xmlns:a16="http://schemas.microsoft.com/office/drawing/2014/main" id="{6F9CC8BF-68E9-4681-BBE4-79B3D2334588}"/>
                </a:ext>
              </a:extLst>
            </xdr:cNvPr>
            <xdr:cNvSpPr/>
          </xdr:nvSpPr>
          <xdr:spPr bwMode="auto">
            <a:xfrm>
              <a:off x="3957190" y="4007533"/>
              <a:ext cx="1080000" cy="539997"/>
            </a:xfrm>
            <a:prstGeom prst="rect">
              <a:avLst/>
            </a:prstGeom>
            <a:grpFill/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</xdr:grpSp>
      <xdr:sp macro="" textlink="">
        <xdr:nvSpPr>
          <xdr:cNvPr id="146" name="Abgerundetes Rechteck 145"/>
          <xdr:cNvSpPr/>
        </xdr:nvSpPr>
        <xdr:spPr bwMode="auto">
          <a:xfrm>
            <a:off x="5498609" y="1159315"/>
            <a:ext cx="1080000" cy="1080000"/>
          </a:xfrm>
          <a:prstGeom prst="roundRect">
            <a:avLst>
              <a:gd name="adj" fmla="val 7143"/>
            </a:avLst>
          </a:prstGeom>
          <a:solidFill>
            <a:srgbClr val="179C7D"/>
          </a:solidFill>
          <a:ln w="9525" cap="flat" cmpd="sng" algn="ctr">
            <a:solidFill>
              <a:srgbClr val="179C7D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0" tIns="45720" rIns="0" bIns="18000" numCol="1" rtlCol="0" anchor="b" anchorCtr="0" compatLnSpc="1">
            <a:prstTxWarp prst="textNoShape">
              <a:avLst/>
            </a:prstTxWarp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lvl="0" algn="ctr" fontAlgn="base">
              <a:spcBef>
                <a:spcPct val="0"/>
              </a:spcBef>
              <a:spcAft>
                <a:spcPct val="0"/>
              </a:spcAft>
            </a:pPr>
            <a:r>
              <a:rPr lang="de-DE" sz="1100">
                <a:solidFill>
                  <a:sysClr val="window" lastClr="FFFFFF"/>
                </a:solidFill>
                <a:latin typeface="Frutiger LT Com 45 Light"/>
              </a:rPr>
              <a:t>Metallurgische Verwertung</a:t>
            </a:r>
          </a:p>
        </xdr:txBody>
      </xdr:sp>
      <xdr:pic>
        <xdr:nvPicPr>
          <xdr:cNvPr id="147" name="Grafik 146" descr="Ein Bild, das Fenster, Zeichnung enthält.&#10;&#10;Automatisch generierte Beschreibung">
            <a:extLst>
              <a:ext uri="{FF2B5EF4-FFF2-40B4-BE49-F238E27FC236}">
                <a16:creationId xmlns:a16="http://schemas.microsoft.com/office/drawing/2014/main" id="{F35E39E6-9B61-49B4-BDCD-EA73CD493C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85284" y="1290073"/>
            <a:ext cx="506650" cy="506650"/>
          </a:xfrm>
          <a:prstGeom prst="rect">
            <a:avLst/>
          </a:prstGeom>
        </xdr:spPr>
      </xdr:pic>
      <xdr:grpSp>
        <xdr:nvGrpSpPr>
          <xdr:cNvPr id="148" name="Gruppieren 147">
            <a:extLst>
              <a:ext uri="{FF2B5EF4-FFF2-40B4-BE49-F238E27FC236}">
                <a16:creationId xmlns:a16="http://schemas.microsoft.com/office/drawing/2014/main" id="{AD987F7F-2B2F-4D92-AAC3-161750D4952E}"/>
              </a:ext>
            </a:extLst>
          </xdr:cNvPr>
          <xdr:cNvGrpSpPr/>
        </xdr:nvGrpSpPr>
        <xdr:grpSpPr>
          <a:xfrm>
            <a:off x="5498609" y="1372835"/>
            <a:ext cx="1080000" cy="652960"/>
            <a:chOff x="3957190" y="3467536"/>
            <a:chExt cx="1080000" cy="1079994"/>
          </a:xfrm>
          <a:noFill/>
        </xdr:grpSpPr>
        <xdr:sp macro="" textlink="">
          <xdr:nvSpPr>
            <xdr:cNvPr id="170" name="Rechteck 169">
              <a:extLst>
                <a:ext uri="{FF2B5EF4-FFF2-40B4-BE49-F238E27FC236}">
                  <a16:creationId xmlns:a16="http://schemas.microsoft.com/office/drawing/2014/main" id="{8932136F-2314-4D85-94FE-A0E867F2BA90}"/>
                </a:ext>
              </a:extLst>
            </xdr:cNvPr>
            <xdr:cNvSpPr/>
          </xdr:nvSpPr>
          <xdr:spPr bwMode="auto">
            <a:xfrm>
              <a:off x="3957190" y="3467536"/>
              <a:ext cx="1080000" cy="539997"/>
            </a:xfrm>
            <a:prstGeom prst="rect">
              <a:avLst/>
            </a:prstGeom>
            <a:grpFill/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  <xdr:sp macro="" textlink="">
          <xdr:nvSpPr>
            <xdr:cNvPr id="171" name="Rechteck 170">
              <a:extLst>
                <a:ext uri="{FF2B5EF4-FFF2-40B4-BE49-F238E27FC236}">
                  <a16:creationId xmlns:a16="http://schemas.microsoft.com/office/drawing/2014/main" id="{52EAF10B-3A88-4F19-96CA-855C4C0C6A63}"/>
                </a:ext>
              </a:extLst>
            </xdr:cNvPr>
            <xdr:cNvSpPr/>
          </xdr:nvSpPr>
          <xdr:spPr bwMode="auto">
            <a:xfrm>
              <a:off x="3957190" y="4007533"/>
              <a:ext cx="1080000" cy="539997"/>
            </a:xfrm>
            <a:prstGeom prst="rect">
              <a:avLst/>
            </a:prstGeom>
            <a:grpFill/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</xdr:grpSp>
      <xdr:sp macro="" textlink="">
        <xdr:nvSpPr>
          <xdr:cNvPr id="149" name="Abgerundetes Rechteck 148"/>
          <xdr:cNvSpPr/>
        </xdr:nvSpPr>
        <xdr:spPr bwMode="auto">
          <a:xfrm>
            <a:off x="7737249" y="1159315"/>
            <a:ext cx="1080000" cy="1080000"/>
          </a:xfrm>
          <a:prstGeom prst="roundRect">
            <a:avLst>
              <a:gd name="adj" fmla="val 7143"/>
            </a:avLst>
          </a:prstGeom>
          <a:solidFill>
            <a:srgbClr val="179C7D"/>
          </a:solidFill>
          <a:ln w="9525" cap="flat" cmpd="sng" algn="ctr">
            <a:solidFill>
              <a:srgbClr val="179C7D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0" tIns="45720" rIns="0" bIns="18000" numCol="1" rtlCol="0" anchor="b" anchorCtr="0" compatLnSpc="1">
            <a:prstTxWarp prst="textNoShape">
              <a:avLst/>
            </a:prstTxWarp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lvl="0" algn="ctr" fontAlgn="base">
              <a:spcBef>
                <a:spcPct val="0"/>
              </a:spcBef>
              <a:spcAft>
                <a:spcPct val="0"/>
              </a:spcAft>
            </a:pPr>
            <a:r>
              <a:rPr lang="de-DE" sz="1100">
                <a:solidFill>
                  <a:sysClr val="window" lastClr="FFFFFF"/>
                </a:solidFill>
                <a:latin typeface="Frutiger LT Com 45 Light"/>
              </a:rPr>
              <a:t>Veredelung &amp; Rückführung</a:t>
            </a:r>
          </a:p>
        </xdr:txBody>
      </xdr:sp>
      <xdr:pic>
        <xdr:nvPicPr>
          <xdr:cNvPr id="150" name="Grafik 149" descr="Ein Bild, das Schild, Zeichnung enthält.&#10;&#10;Automatisch generierte Beschreibung">
            <a:extLst>
              <a:ext uri="{FF2B5EF4-FFF2-40B4-BE49-F238E27FC236}">
                <a16:creationId xmlns:a16="http://schemas.microsoft.com/office/drawing/2014/main" id="{31DE2676-3D65-4A9B-95EA-BE6B5DCCBA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23925" y="1290073"/>
            <a:ext cx="506650" cy="506650"/>
          </a:xfrm>
          <a:prstGeom prst="rect">
            <a:avLst/>
          </a:prstGeom>
        </xdr:spPr>
      </xdr:pic>
      <xdr:grpSp>
        <xdr:nvGrpSpPr>
          <xdr:cNvPr id="151" name="Gruppieren 150">
            <a:extLst>
              <a:ext uri="{FF2B5EF4-FFF2-40B4-BE49-F238E27FC236}">
                <a16:creationId xmlns:a16="http://schemas.microsoft.com/office/drawing/2014/main" id="{3D494766-7A8C-467A-91C6-A8462C3BC31A}"/>
              </a:ext>
            </a:extLst>
          </xdr:cNvPr>
          <xdr:cNvGrpSpPr/>
        </xdr:nvGrpSpPr>
        <xdr:grpSpPr>
          <a:xfrm>
            <a:off x="7737249" y="1372835"/>
            <a:ext cx="1080000" cy="652960"/>
            <a:chOff x="3957190" y="3467536"/>
            <a:chExt cx="1080000" cy="1079994"/>
          </a:xfrm>
          <a:noFill/>
        </xdr:grpSpPr>
        <xdr:sp macro="" textlink="">
          <xdr:nvSpPr>
            <xdr:cNvPr id="168" name="Rechteck 167">
              <a:extLst>
                <a:ext uri="{FF2B5EF4-FFF2-40B4-BE49-F238E27FC236}">
                  <a16:creationId xmlns:a16="http://schemas.microsoft.com/office/drawing/2014/main" id="{002DCADE-737D-4EF2-9F96-329DFACDE087}"/>
                </a:ext>
              </a:extLst>
            </xdr:cNvPr>
            <xdr:cNvSpPr/>
          </xdr:nvSpPr>
          <xdr:spPr bwMode="auto">
            <a:xfrm>
              <a:off x="3957190" y="3467536"/>
              <a:ext cx="1080000" cy="539997"/>
            </a:xfrm>
            <a:prstGeom prst="rect">
              <a:avLst/>
            </a:prstGeom>
            <a:grpFill/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  <xdr:sp macro="" textlink="">
          <xdr:nvSpPr>
            <xdr:cNvPr id="169" name="Rechteck 168">
              <a:extLst>
                <a:ext uri="{FF2B5EF4-FFF2-40B4-BE49-F238E27FC236}">
                  <a16:creationId xmlns:a16="http://schemas.microsoft.com/office/drawing/2014/main" id="{4C3D326B-6FCD-4D38-9983-B7EE667F1DDF}"/>
                </a:ext>
              </a:extLst>
            </xdr:cNvPr>
            <xdr:cNvSpPr/>
          </xdr:nvSpPr>
          <xdr:spPr bwMode="auto">
            <a:xfrm>
              <a:off x="3957190" y="4007533"/>
              <a:ext cx="1080000" cy="539997"/>
            </a:xfrm>
            <a:prstGeom prst="rect">
              <a:avLst/>
            </a:prstGeom>
            <a:grpFill/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</xdr:grpSp>
      <xdr:grpSp>
        <xdr:nvGrpSpPr>
          <xdr:cNvPr id="152" name="Gruppieren 151">
            <a:extLst>
              <a:ext uri="{FF2B5EF4-FFF2-40B4-BE49-F238E27FC236}">
                <a16:creationId xmlns:a16="http://schemas.microsoft.com/office/drawing/2014/main" id="{D3A473BB-8B48-4AE8-A021-6B37651999DC}"/>
              </a:ext>
            </a:extLst>
          </xdr:cNvPr>
          <xdr:cNvGrpSpPr>
            <a:grpSpLocks noChangeAspect="1"/>
          </xdr:cNvGrpSpPr>
        </xdr:nvGrpSpPr>
        <xdr:grpSpPr>
          <a:xfrm>
            <a:off x="2500650" y="1356074"/>
            <a:ext cx="360000" cy="360000"/>
            <a:chOff x="3449658" y="3037546"/>
            <a:chExt cx="288000" cy="288000"/>
          </a:xfrm>
        </xdr:grpSpPr>
        <xdr:sp macro="" textlink="">
          <xdr:nvSpPr>
            <xdr:cNvPr id="166" name="Rechteck 165">
              <a:extLst>
                <a:ext uri="{FF2B5EF4-FFF2-40B4-BE49-F238E27FC236}">
                  <a16:creationId xmlns:a16="http://schemas.microsoft.com/office/drawing/2014/main" id="{C29F929D-DF51-4369-8FC1-96F61987D404}"/>
                </a:ext>
              </a:extLst>
            </xdr:cNvPr>
            <xdr:cNvSpPr/>
          </xdr:nvSpPr>
          <xdr:spPr bwMode="auto">
            <a:xfrm>
              <a:off x="3449658" y="3037546"/>
              <a:ext cx="288000" cy="288000"/>
            </a:xfrm>
            <a:prstGeom prst="rect">
              <a:avLst/>
            </a:prstGeom>
            <a:solidFill>
              <a:sysClr val="window" lastClr="FFFFFF"/>
            </a:solidFill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  <xdr:pic>
          <xdr:nvPicPr>
            <xdr:cNvPr id="167" name="Grafik 166">
              <a:extLst>
                <a:ext uri="{FF2B5EF4-FFF2-40B4-BE49-F238E27FC236}">
                  <a16:creationId xmlns:a16="http://schemas.microsoft.com/office/drawing/2014/main" id="{872214CA-1C92-4F48-9391-9E97D00B986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p="http://schemas.openxmlformats.org/presentationml/2006/main" xmlns:asvg="http://schemas.microsoft.com/office/drawing/2016/SVG/main" xmlns="" xmlns:lc="http://schemas.openxmlformats.org/drawingml/2006/lockedCanvas" r:embed="rId12"/>
                </a:ext>
              </a:extLst>
            </a:blip>
            <a:stretch>
              <a:fillRect/>
            </a:stretch>
          </xdr:blipFill>
          <xdr:spPr>
            <a:xfrm>
              <a:off x="3472800" y="3060688"/>
              <a:ext cx="241715" cy="241715"/>
            </a:xfrm>
            <a:prstGeom prst="rect">
              <a:avLst/>
            </a:prstGeom>
          </xdr:spPr>
        </xdr:pic>
      </xdr:grpSp>
      <xdr:grpSp>
        <xdr:nvGrpSpPr>
          <xdr:cNvPr id="153" name="Gruppieren 152">
            <a:extLst>
              <a:ext uri="{FF2B5EF4-FFF2-40B4-BE49-F238E27FC236}">
                <a16:creationId xmlns:a16="http://schemas.microsoft.com/office/drawing/2014/main" id="{98A06623-F34C-4FD2-81E4-44E95784CCD6}"/>
              </a:ext>
            </a:extLst>
          </xdr:cNvPr>
          <xdr:cNvGrpSpPr>
            <a:grpSpLocks noChangeAspect="1"/>
          </xdr:cNvGrpSpPr>
        </xdr:nvGrpSpPr>
        <xdr:grpSpPr>
          <a:xfrm>
            <a:off x="6977928" y="1356074"/>
            <a:ext cx="360000" cy="360000"/>
            <a:chOff x="7206938" y="3023633"/>
            <a:chExt cx="288000" cy="288000"/>
          </a:xfrm>
        </xdr:grpSpPr>
        <xdr:sp macro="" textlink="">
          <xdr:nvSpPr>
            <xdr:cNvPr id="164" name="Rechteck 163">
              <a:extLst>
                <a:ext uri="{FF2B5EF4-FFF2-40B4-BE49-F238E27FC236}">
                  <a16:creationId xmlns:a16="http://schemas.microsoft.com/office/drawing/2014/main" id="{897CF926-AD5F-4896-B128-39F96FAEFF4C}"/>
                </a:ext>
              </a:extLst>
            </xdr:cNvPr>
            <xdr:cNvSpPr/>
          </xdr:nvSpPr>
          <xdr:spPr bwMode="auto">
            <a:xfrm>
              <a:off x="7206938" y="3023633"/>
              <a:ext cx="288000" cy="288000"/>
            </a:xfrm>
            <a:prstGeom prst="rect">
              <a:avLst/>
            </a:prstGeom>
            <a:solidFill>
              <a:sysClr val="window" lastClr="FFFFFF"/>
            </a:solidFill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  <xdr:pic>
          <xdr:nvPicPr>
            <xdr:cNvPr id="165" name="Grafik 164">
              <a:extLst>
                <a:ext uri="{FF2B5EF4-FFF2-40B4-BE49-F238E27FC236}">
                  <a16:creationId xmlns:a16="http://schemas.microsoft.com/office/drawing/2014/main" id="{57DA0C34-B9B8-42E1-816F-B9D1E4B1599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p="http://schemas.openxmlformats.org/presentationml/2006/main" xmlns:asvg="http://schemas.microsoft.com/office/drawing/2016/SVG/main" xmlns="" xmlns:lc="http://schemas.openxmlformats.org/drawingml/2006/lockedCanvas" r:embed="rId5"/>
                </a:ext>
              </a:extLst>
            </a:blip>
            <a:stretch>
              <a:fillRect/>
            </a:stretch>
          </xdr:blipFill>
          <xdr:spPr>
            <a:xfrm>
              <a:off x="7230080" y="3046776"/>
              <a:ext cx="241715" cy="241715"/>
            </a:xfrm>
            <a:prstGeom prst="rect">
              <a:avLst/>
            </a:prstGeom>
          </xdr:spPr>
        </xdr:pic>
      </xdr:grpSp>
      <xdr:cxnSp macro="">
        <xdr:nvCxnSpPr>
          <xdr:cNvPr id="154" name="Gerade Verbindung mit Pfeil 153"/>
          <xdr:cNvCxnSpPr>
            <a:cxnSpLocks/>
          </xdr:cNvCxnSpPr>
        </xdr:nvCxnSpPr>
        <xdr:spPr bwMode="auto">
          <a:xfrm>
            <a:off x="217487" y="1536074"/>
            <a:ext cx="803843" cy="0"/>
          </a:xfrm>
          <a:prstGeom prst="straightConnector1">
            <a:avLst/>
          </a:prstGeom>
          <a:solidFill>
            <a:srgbClr val="DDDDDD"/>
          </a:solidFill>
          <a:ln w="9525" cap="flat" cmpd="sng" algn="ctr">
            <a:solidFill>
              <a:srgbClr val="FF6600"/>
            </a:solidFill>
            <a:prstDash val="solid"/>
            <a:round/>
            <a:headEnd type="none" w="med" len="med"/>
            <a:tailEnd type="triangle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grpSp>
        <xdr:nvGrpSpPr>
          <xdr:cNvPr id="155" name="Gruppieren 154">
            <a:extLst>
              <a:ext uri="{FF2B5EF4-FFF2-40B4-BE49-F238E27FC236}">
                <a16:creationId xmlns:a16="http://schemas.microsoft.com/office/drawing/2014/main" id="{9EB7DDF8-1E14-4EA4-A65C-96E3D2BD60B7}"/>
              </a:ext>
            </a:extLst>
          </xdr:cNvPr>
          <xdr:cNvGrpSpPr>
            <a:grpSpLocks noChangeAspect="1"/>
          </xdr:cNvGrpSpPr>
        </xdr:nvGrpSpPr>
        <xdr:grpSpPr>
          <a:xfrm>
            <a:off x="439408" y="1356074"/>
            <a:ext cx="360000" cy="360000"/>
            <a:chOff x="1568146" y="3023635"/>
            <a:chExt cx="288000" cy="288000"/>
          </a:xfrm>
        </xdr:grpSpPr>
        <xdr:sp macro="" textlink="">
          <xdr:nvSpPr>
            <xdr:cNvPr id="162" name="Rechteck 161">
              <a:extLst>
                <a:ext uri="{FF2B5EF4-FFF2-40B4-BE49-F238E27FC236}">
                  <a16:creationId xmlns:a16="http://schemas.microsoft.com/office/drawing/2014/main" id="{00B49DC7-2E03-4077-8E8D-9EE55B8640B6}"/>
                </a:ext>
              </a:extLst>
            </xdr:cNvPr>
            <xdr:cNvSpPr/>
          </xdr:nvSpPr>
          <xdr:spPr bwMode="auto">
            <a:xfrm>
              <a:off x="1568146" y="3023635"/>
              <a:ext cx="288000" cy="288000"/>
            </a:xfrm>
            <a:prstGeom prst="rect">
              <a:avLst/>
            </a:prstGeom>
            <a:solidFill>
              <a:sysClr val="window" lastClr="FFFFFF"/>
            </a:solidFill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  <xdr:pic>
          <xdr:nvPicPr>
            <xdr:cNvPr id="163" name="Grafik 162">
              <a:extLst>
                <a:ext uri="{FF2B5EF4-FFF2-40B4-BE49-F238E27FC236}">
                  <a16:creationId xmlns:a16="http://schemas.microsoft.com/office/drawing/2014/main" id="{9F54F4BC-4880-41FF-BD52-DE5B6C04943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p="http://schemas.openxmlformats.org/presentationml/2006/main" xmlns:asvg="http://schemas.microsoft.com/office/drawing/2016/SVG/main" xmlns="" xmlns:lc="http://schemas.openxmlformats.org/drawingml/2006/lockedCanvas" r:embed="rId13"/>
                </a:ext>
              </a:extLst>
            </a:blip>
            <a:stretch>
              <a:fillRect/>
            </a:stretch>
          </xdr:blipFill>
          <xdr:spPr>
            <a:xfrm>
              <a:off x="1591288" y="3046777"/>
              <a:ext cx="241715" cy="241715"/>
            </a:xfrm>
            <a:prstGeom prst="rect">
              <a:avLst/>
            </a:prstGeom>
          </xdr:spPr>
        </xdr:pic>
      </xdr:grpSp>
      <xdr:sp macro="" textlink="">
        <xdr:nvSpPr>
          <xdr:cNvPr id="156" name="Textfeld 66">
            <a:extLst>
              <a:ext uri="{FF2B5EF4-FFF2-40B4-BE49-F238E27FC236}">
                <a16:creationId xmlns:a16="http://schemas.microsoft.com/office/drawing/2014/main" id="{7469BB11-E7C7-40BF-9AB6-182C48F34210}"/>
              </a:ext>
            </a:extLst>
          </xdr:cNvPr>
          <xdr:cNvSpPr txBox="1"/>
        </xdr:nvSpPr>
        <xdr:spPr>
          <a:xfrm>
            <a:off x="4644985" y="904832"/>
            <a:ext cx="548610" cy="468000"/>
          </a:xfrm>
          <a:prstGeom prst="rect">
            <a:avLst/>
          </a:prstGeom>
          <a:noFill/>
          <a:ln w="2857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rot="0" spcFirstLastPara="0" vert="horz" wrap="square" lIns="72000" tIns="0" rIns="7200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algn="ctr"/>
            <a:r>
              <a:rPr lang="de-DE" sz="1100">
                <a:solidFill>
                  <a:srgbClr val="FF6600"/>
                </a:solidFill>
                <a:latin typeface="Frutiger LT Com 45 Light"/>
              </a:rPr>
              <a:t>SMD</a:t>
            </a:r>
          </a:p>
        </xdr:txBody>
      </xdr:sp>
      <xdr:sp macro="" textlink="">
        <xdr:nvSpPr>
          <xdr:cNvPr id="157" name="Textfeld 72">
            <a:extLst>
              <a:ext uri="{FF2B5EF4-FFF2-40B4-BE49-F238E27FC236}">
                <a16:creationId xmlns:a16="http://schemas.microsoft.com/office/drawing/2014/main" id="{345DECAB-7BAA-48E2-9783-A8BE0C981CFC}"/>
              </a:ext>
            </a:extLst>
          </xdr:cNvPr>
          <xdr:cNvSpPr txBox="1"/>
        </xdr:nvSpPr>
        <xdr:spPr>
          <a:xfrm>
            <a:off x="8695618" y="894296"/>
            <a:ext cx="1047110" cy="468000"/>
          </a:xfrm>
          <a:prstGeom prst="rect">
            <a:avLst/>
          </a:prstGeom>
          <a:noFill/>
          <a:ln w="2857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rot="0" spcFirstLastPara="0" vert="horz" wrap="square" lIns="72000" tIns="0" rIns="7200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algn="ctr"/>
            <a:r>
              <a:rPr lang="de-DE" sz="1100">
                <a:solidFill>
                  <a:srgbClr val="FF6600"/>
                </a:solidFill>
                <a:latin typeface="Frutiger LT Com 45 Light"/>
              </a:rPr>
              <a:t>Aufbereitetes</a:t>
            </a:r>
            <a:br>
              <a:rPr lang="de-DE" sz="1100">
                <a:solidFill>
                  <a:srgbClr val="FF6600"/>
                </a:solidFill>
                <a:latin typeface="Frutiger LT Com 45 Light"/>
              </a:rPr>
            </a:br>
            <a:r>
              <a:rPr lang="de-DE" sz="1100">
                <a:solidFill>
                  <a:srgbClr val="FF6600"/>
                </a:solidFill>
                <a:latin typeface="Frutiger LT Com 45 Light"/>
              </a:rPr>
              <a:t>Technologie-metall</a:t>
            </a:r>
          </a:p>
        </xdr:txBody>
      </xdr:sp>
      <xdr:sp macro="" textlink="">
        <xdr:nvSpPr>
          <xdr:cNvPr id="158" name="Textfeld 63">
            <a:extLst>
              <a:ext uri="{FF2B5EF4-FFF2-40B4-BE49-F238E27FC236}">
                <a16:creationId xmlns:a16="http://schemas.microsoft.com/office/drawing/2014/main" id="{04E10507-DBAA-47E8-813B-5C4322EB8C02}"/>
              </a:ext>
            </a:extLst>
          </xdr:cNvPr>
          <xdr:cNvSpPr txBox="1"/>
        </xdr:nvSpPr>
        <xdr:spPr>
          <a:xfrm>
            <a:off x="2216848" y="904832"/>
            <a:ext cx="927604" cy="468000"/>
          </a:xfrm>
          <a:prstGeom prst="rect">
            <a:avLst/>
          </a:prstGeom>
          <a:noFill/>
          <a:ln w="2857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rot="0" spcFirstLastPara="0" vert="horz" wrap="square" lIns="72000" tIns="0" rIns="7200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algn="ctr"/>
            <a:r>
              <a:rPr lang="de-DE" sz="1100">
                <a:solidFill>
                  <a:srgbClr val="FF6600"/>
                </a:solidFill>
                <a:latin typeface="Frutiger LT Com 45 Light"/>
              </a:rPr>
              <a:t>Zerkleinerte PCB</a:t>
            </a:r>
          </a:p>
        </xdr:txBody>
      </xdr:sp>
      <xdr:sp macro="" textlink="">
        <xdr:nvSpPr>
          <xdr:cNvPr id="159" name="Textfeld 69">
            <a:extLst>
              <a:ext uri="{FF2B5EF4-FFF2-40B4-BE49-F238E27FC236}">
                <a16:creationId xmlns:a16="http://schemas.microsoft.com/office/drawing/2014/main" id="{345DECAB-7BAA-48E2-9783-A8BE0C981CFC}"/>
              </a:ext>
            </a:extLst>
          </xdr:cNvPr>
          <xdr:cNvSpPr txBox="1"/>
        </xdr:nvSpPr>
        <xdr:spPr>
          <a:xfrm>
            <a:off x="6691764" y="904833"/>
            <a:ext cx="932330" cy="468000"/>
          </a:xfrm>
          <a:prstGeom prst="rect">
            <a:avLst/>
          </a:prstGeom>
          <a:noFill/>
          <a:ln w="2857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rot="0" spcFirstLastPara="0" vert="horz" wrap="square" lIns="72000" tIns="0" rIns="7200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algn="ctr"/>
            <a:r>
              <a:rPr lang="de-DE" sz="1100">
                <a:solidFill>
                  <a:srgbClr val="FF6600"/>
                </a:solidFill>
                <a:latin typeface="Frutiger LT Com 45 Light"/>
              </a:rPr>
              <a:t>Technologie-metalle</a:t>
            </a:r>
          </a:p>
        </xdr:txBody>
      </xdr:sp>
      <xdr:sp macro="" textlink="">
        <xdr:nvSpPr>
          <xdr:cNvPr id="160" name="Textfeld 60">
            <a:extLst>
              <a:ext uri="{FF2B5EF4-FFF2-40B4-BE49-F238E27FC236}">
                <a16:creationId xmlns:a16="http://schemas.microsoft.com/office/drawing/2014/main" id="{04E10507-DBAA-47E8-813B-5C4322EB8C02}"/>
              </a:ext>
            </a:extLst>
          </xdr:cNvPr>
          <xdr:cNvSpPr txBox="1"/>
        </xdr:nvSpPr>
        <xdr:spPr>
          <a:xfrm>
            <a:off x="353009" y="904832"/>
            <a:ext cx="532800" cy="468000"/>
          </a:xfrm>
          <a:prstGeom prst="rect">
            <a:avLst/>
          </a:prstGeom>
          <a:noFill/>
          <a:ln w="2857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rot="0" spcFirstLastPara="0" vert="horz" wrap="square" lIns="72000" tIns="0" rIns="7200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algn="ctr"/>
            <a:r>
              <a:rPr lang="de-DE" sz="1100">
                <a:solidFill>
                  <a:srgbClr val="FF6600"/>
                </a:solidFill>
                <a:latin typeface="Frutiger LT Com 45 Light"/>
              </a:rPr>
              <a:t>PCB</a:t>
            </a:r>
          </a:p>
        </xdr:txBody>
      </xdr:sp>
      <xdr:pic>
        <xdr:nvPicPr>
          <xdr:cNvPr id="161" name="Grafik 160">
            <a:extLst>
              <a:ext uri="{FF2B5EF4-FFF2-40B4-BE49-F238E27FC236}">
                <a16:creationId xmlns:a16="http://schemas.microsoft.com/office/drawing/2014/main" id="{D49C851A-754F-44F6-A0D8-655792790F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p="http://schemas.openxmlformats.org/presentationml/2006/main" xmlns:asvg="http://schemas.microsoft.com/office/drawing/2016/SVG/main" xmlns="" xmlns:lc="http://schemas.openxmlformats.org/drawingml/2006/lockedCanvas" r:embed="rId33"/>
              </a:ext>
            </a:extLst>
          </a:blip>
          <a:stretch>
            <a:fillRect/>
          </a:stretch>
        </xdr:blipFill>
        <xdr:spPr>
          <a:xfrm>
            <a:off x="1308006" y="1290073"/>
            <a:ext cx="506650" cy="50665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95251</xdr:colOff>
      <xdr:row>10</xdr:row>
      <xdr:rowOff>112058</xdr:rowOff>
    </xdr:from>
    <xdr:to>
      <xdr:col>14</xdr:col>
      <xdr:colOff>533881</xdr:colOff>
      <xdr:row>19</xdr:row>
      <xdr:rowOff>101707</xdr:rowOff>
    </xdr:to>
    <xdr:grpSp>
      <xdr:nvGrpSpPr>
        <xdr:cNvPr id="229" name="Gruppieren 228"/>
        <xdr:cNvGrpSpPr/>
      </xdr:nvGrpSpPr>
      <xdr:grpSpPr>
        <a:xfrm>
          <a:off x="11606894" y="2438879"/>
          <a:ext cx="8983916" cy="1704149"/>
          <a:chOff x="217487" y="894296"/>
          <a:chExt cx="9525241" cy="1806189"/>
        </a:xfrm>
      </xdr:grpSpPr>
      <xdr:cxnSp macro="">
        <xdr:nvCxnSpPr>
          <xdr:cNvPr id="230" name="Gerade Verbindung mit Pfeil 229"/>
          <xdr:cNvCxnSpPr>
            <a:stCxn id="272" idx="3"/>
            <a:endCxn id="270" idx="1"/>
          </xdr:cNvCxnSpPr>
        </xdr:nvCxnSpPr>
        <xdr:spPr bwMode="auto">
          <a:xfrm>
            <a:off x="2101331" y="1536073"/>
            <a:ext cx="1158639" cy="2"/>
          </a:xfrm>
          <a:prstGeom prst="straightConnector1">
            <a:avLst/>
          </a:prstGeom>
          <a:solidFill>
            <a:srgbClr val="DDDDDD"/>
          </a:solidFill>
          <a:ln w="9525" cap="flat" cmpd="sng" algn="ctr">
            <a:solidFill>
              <a:srgbClr val="FF6600"/>
            </a:solidFill>
            <a:prstDash val="solid"/>
            <a:round/>
            <a:headEnd type="none" w="med" len="med"/>
            <a:tailEnd type="triangle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31" name="Gerade Verbindung mit Pfeil 230"/>
          <xdr:cNvCxnSpPr>
            <a:stCxn id="270" idx="3"/>
            <a:endCxn id="268" idx="1"/>
          </xdr:cNvCxnSpPr>
        </xdr:nvCxnSpPr>
        <xdr:spPr bwMode="auto">
          <a:xfrm>
            <a:off x="4339970" y="1536075"/>
            <a:ext cx="1158639" cy="0"/>
          </a:xfrm>
          <a:prstGeom prst="straightConnector1">
            <a:avLst/>
          </a:prstGeom>
          <a:solidFill>
            <a:srgbClr val="DDDDDD"/>
          </a:solidFill>
          <a:ln w="9525" cap="flat" cmpd="sng" algn="ctr">
            <a:solidFill>
              <a:srgbClr val="FF6600"/>
            </a:solidFill>
            <a:prstDash val="solid"/>
            <a:round/>
            <a:headEnd type="none" w="med" len="med"/>
            <a:tailEnd type="triangle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32" name="Gerade Verbindung mit Pfeil 231"/>
          <xdr:cNvCxnSpPr>
            <a:stCxn id="268" idx="3"/>
            <a:endCxn id="266" idx="1"/>
          </xdr:cNvCxnSpPr>
        </xdr:nvCxnSpPr>
        <xdr:spPr bwMode="auto">
          <a:xfrm>
            <a:off x="6578609" y="1536075"/>
            <a:ext cx="1158640" cy="0"/>
          </a:xfrm>
          <a:prstGeom prst="straightConnector1">
            <a:avLst/>
          </a:prstGeom>
          <a:solidFill>
            <a:srgbClr val="DDDDDD"/>
          </a:solidFill>
          <a:ln w="9525" cap="flat" cmpd="sng" algn="ctr">
            <a:solidFill>
              <a:srgbClr val="FF6600"/>
            </a:solidFill>
            <a:prstDash val="solid"/>
            <a:round/>
            <a:headEnd type="none" w="med" len="med"/>
            <a:tailEnd type="triangle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grpSp>
        <xdr:nvGrpSpPr>
          <xdr:cNvPr id="233" name="Gruppieren 232">
            <a:extLst>
              <a:ext uri="{FF2B5EF4-FFF2-40B4-BE49-F238E27FC236}">
                <a16:creationId xmlns:a16="http://schemas.microsoft.com/office/drawing/2014/main" id="{7998A39B-8896-4C24-A863-F2B3E37605EA}"/>
              </a:ext>
            </a:extLst>
          </xdr:cNvPr>
          <xdr:cNvGrpSpPr>
            <a:grpSpLocks noChangeAspect="1"/>
          </xdr:cNvGrpSpPr>
        </xdr:nvGrpSpPr>
        <xdr:grpSpPr>
          <a:xfrm>
            <a:off x="4739290" y="1356074"/>
            <a:ext cx="360000" cy="360000"/>
            <a:chOff x="5323096" y="3023633"/>
            <a:chExt cx="288000" cy="288000"/>
          </a:xfrm>
        </xdr:grpSpPr>
        <xdr:sp macro="" textlink="">
          <xdr:nvSpPr>
            <xdr:cNvPr id="276" name="Rechteck 275">
              <a:extLst>
                <a:ext uri="{FF2B5EF4-FFF2-40B4-BE49-F238E27FC236}">
                  <a16:creationId xmlns:a16="http://schemas.microsoft.com/office/drawing/2014/main" id="{1E5974CA-BF35-4A48-B1FB-A1AC6D22A944}"/>
                </a:ext>
              </a:extLst>
            </xdr:cNvPr>
            <xdr:cNvSpPr/>
          </xdr:nvSpPr>
          <xdr:spPr bwMode="auto">
            <a:xfrm>
              <a:off x="5323096" y="3023633"/>
              <a:ext cx="288000" cy="288000"/>
            </a:xfrm>
            <a:prstGeom prst="rect">
              <a:avLst/>
            </a:prstGeom>
            <a:solidFill>
              <a:sysClr val="window" lastClr="FFFFFF"/>
            </a:solidFill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  <xdr:pic>
          <xdr:nvPicPr>
            <xdr:cNvPr id="277" name="Grafik 276">
              <a:extLst>
                <a:ext uri="{FF2B5EF4-FFF2-40B4-BE49-F238E27FC236}">
                  <a16:creationId xmlns:a16="http://schemas.microsoft.com/office/drawing/2014/main" id="{A9437884-0F65-4FB4-9613-2CE35420029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p="http://schemas.openxmlformats.org/presentationml/2006/main" xmlns:asvg="http://schemas.microsoft.com/office/drawing/2016/SVG/main" xmlns="" xmlns:lc="http://schemas.openxmlformats.org/drawingml/2006/lockedCanvas" r:embed="rId3"/>
                </a:ext>
              </a:extLst>
            </a:blip>
            <a:stretch>
              <a:fillRect/>
            </a:stretch>
          </xdr:blipFill>
          <xdr:spPr>
            <a:xfrm rot="5400000">
              <a:off x="5346240" y="3046776"/>
              <a:ext cx="241715" cy="241715"/>
            </a:xfrm>
            <a:prstGeom prst="rect">
              <a:avLst/>
            </a:prstGeom>
          </xdr:spPr>
        </xdr:pic>
      </xdr:grpSp>
      <xdr:cxnSp macro="">
        <xdr:nvCxnSpPr>
          <xdr:cNvPr id="234" name="Gerade Verbindung mit Pfeil 233"/>
          <xdr:cNvCxnSpPr/>
        </xdr:nvCxnSpPr>
        <xdr:spPr bwMode="auto">
          <a:xfrm>
            <a:off x="8817249" y="1536074"/>
            <a:ext cx="803843" cy="0"/>
          </a:xfrm>
          <a:prstGeom prst="straightConnector1">
            <a:avLst/>
          </a:prstGeom>
          <a:solidFill>
            <a:srgbClr val="DDDDDD"/>
          </a:solidFill>
          <a:ln w="9525" cap="flat" cmpd="sng" algn="ctr">
            <a:solidFill>
              <a:srgbClr val="FF6600"/>
            </a:solidFill>
            <a:prstDash val="solid"/>
            <a:round/>
            <a:headEnd type="none" w="med" len="med"/>
            <a:tailEnd type="triangle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grpSp>
        <xdr:nvGrpSpPr>
          <xdr:cNvPr id="235" name="Gruppieren 234">
            <a:extLst>
              <a:ext uri="{FF2B5EF4-FFF2-40B4-BE49-F238E27FC236}">
                <a16:creationId xmlns:a16="http://schemas.microsoft.com/office/drawing/2014/main" id="{6C66A8FF-67CC-4EDC-88F2-CE7474EF472E}"/>
              </a:ext>
            </a:extLst>
          </xdr:cNvPr>
          <xdr:cNvGrpSpPr>
            <a:grpSpLocks noChangeAspect="1"/>
          </xdr:cNvGrpSpPr>
        </xdr:nvGrpSpPr>
        <xdr:grpSpPr>
          <a:xfrm>
            <a:off x="9039171" y="1356074"/>
            <a:ext cx="360000" cy="360000"/>
            <a:chOff x="9293090" y="3202673"/>
            <a:chExt cx="288000" cy="288000"/>
          </a:xfrm>
        </xdr:grpSpPr>
        <xdr:sp macro="" textlink="">
          <xdr:nvSpPr>
            <xdr:cNvPr id="274" name="Rechteck 273">
              <a:extLst>
                <a:ext uri="{FF2B5EF4-FFF2-40B4-BE49-F238E27FC236}">
                  <a16:creationId xmlns:a16="http://schemas.microsoft.com/office/drawing/2014/main" id="{6C9C741F-4E67-46B5-825B-CAADFB8C8E9D}"/>
                </a:ext>
              </a:extLst>
            </xdr:cNvPr>
            <xdr:cNvSpPr/>
          </xdr:nvSpPr>
          <xdr:spPr bwMode="auto">
            <a:xfrm>
              <a:off x="9293090" y="3202673"/>
              <a:ext cx="288000" cy="288000"/>
            </a:xfrm>
            <a:prstGeom prst="rect">
              <a:avLst/>
            </a:prstGeom>
            <a:solidFill>
              <a:sysClr val="window" lastClr="FFFFFF"/>
            </a:solidFill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  <xdr:pic>
          <xdr:nvPicPr>
            <xdr:cNvPr id="275" name="Grafik 274">
              <a:extLst>
                <a:ext uri="{FF2B5EF4-FFF2-40B4-BE49-F238E27FC236}">
                  <a16:creationId xmlns:a16="http://schemas.microsoft.com/office/drawing/2014/main" id="{A53D7D5D-1823-44BF-A3A4-AC4531270EC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p="http://schemas.openxmlformats.org/presentationml/2006/main" xmlns:asvg="http://schemas.microsoft.com/office/drawing/2016/SVG/main" xmlns="" xmlns:lc="http://schemas.openxmlformats.org/drawingml/2006/lockedCanvas" r:embed="rId5"/>
                </a:ext>
              </a:extLst>
            </a:blip>
            <a:stretch>
              <a:fillRect/>
            </a:stretch>
          </xdr:blipFill>
          <xdr:spPr>
            <a:xfrm>
              <a:off x="9316231" y="3225815"/>
              <a:ext cx="241715" cy="241715"/>
            </a:xfrm>
            <a:prstGeom prst="rect">
              <a:avLst/>
            </a:prstGeom>
          </xdr:spPr>
        </xdr:pic>
      </xdr:grpSp>
      <xdr:sp macro="" textlink="">
        <xdr:nvSpPr>
          <xdr:cNvPr id="236" name="Rechteck 235"/>
          <xdr:cNvSpPr/>
        </xdr:nvSpPr>
        <xdr:spPr bwMode="auto">
          <a:xfrm>
            <a:off x="1977264" y="2068685"/>
            <a:ext cx="1406772" cy="631800"/>
          </a:xfrm>
          <a:prstGeom prst="rect">
            <a:avLst/>
          </a:prstGeom>
          <a:noFill/>
          <a:ln w="2857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t" anchorCtr="0" compatLnSpc="1">
            <a:prstTxWarp prst="textNoShape">
              <a:avLst/>
            </a:prstTxWarp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marL="0" marR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n-US" sz="1400" b="0" i="0" u="none" strike="noStrike" cap="none" normalizeH="0" baseline="0">
              <a:ln>
                <a:noFill/>
              </a:ln>
              <a:solidFill>
                <a:srgbClr val="000000"/>
              </a:solidFill>
              <a:effectLst/>
              <a:latin typeface="Frutiger LT Com 45 Light"/>
            </a:endParaRPr>
          </a:p>
        </xdr:txBody>
      </xdr:sp>
      <xdr:sp macro="" textlink="">
        <xdr:nvSpPr>
          <xdr:cNvPr id="237" name="Rechteck 236"/>
          <xdr:cNvSpPr/>
        </xdr:nvSpPr>
        <xdr:spPr bwMode="auto">
          <a:xfrm>
            <a:off x="4215904" y="2059715"/>
            <a:ext cx="1406772" cy="640769"/>
          </a:xfrm>
          <a:prstGeom prst="rect">
            <a:avLst/>
          </a:prstGeom>
          <a:noFill/>
          <a:ln w="2857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t" anchorCtr="0" compatLnSpc="1">
            <a:prstTxWarp prst="textNoShape">
              <a:avLst/>
            </a:prstTxWarp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marL="0" marR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n-US" sz="1400" b="0" i="0" u="none" strike="noStrike" cap="none" normalizeH="0" baseline="0">
              <a:ln>
                <a:noFill/>
              </a:ln>
              <a:solidFill>
                <a:srgbClr val="000000"/>
              </a:solidFill>
              <a:effectLst/>
              <a:latin typeface="Frutiger LT Com 45 Light"/>
            </a:endParaRPr>
          </a:p>
        </xdr:txBody>
      </xdr:sp>
      <xdr:sp macro="" textlink="">
        <xdr:nvSpPr>
          <xdr:cNvPr id="238" name="Rechteck 237"/>
          <xdr:cNvSpPr/>
        </xdr:nvSpPr>
        <xdr:spPr bwMode="auto">
          <a:xfrm>
            <a:off x="6454541" y="2059715"/>
            <a:ext cx="1406772" cy="640769"/>
          </a:xfrm>
          <a:prstGeom prst="rect">
            <a:avLst/>
          </a:prstGeom>
          <a:noFill/>
          <a:ln w="2857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t" anchorCtr="0" compatLnSpc="1">
            <a:prstTxWarp prst="textNoShape">
              <a:avLst/>
            </a:prstTxWarp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marL="0" marR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n-US" sz="1400" b="0" i="0" u="none" strike="noStrike" cap="none" normalizeH="0" baseline="0">
              <a:ln>
                <a:noFill/>
              </a:ln>
              <a:solidFill>
                <a:srgbClr val="000000"/>
              </a:solidFill>
              <a:effectLst/>
              <a:latin typeface="Frutiger LT Com 45 Light"/>
            </a:endParaRPr>
          </a:p>
        </xdr:txBody>
      </xdr:sp>
      <xdr:sp macro="" textlink="">
        <xdr:nvSpPr>
          <xdr:cNvPr id="239" name="Abgerundetes Rechteck 238"/>
          <xdr:cNvSpPr/>
        </xdr:nvSpPr>
        <xdr:spPr bwMode="auto">
          <a:xfrm>
            <a:off x="1021331" y="1159315"/>
            <a:ext cx="1080000" cy="1080000"/>
          </a:xfrm>
          <a:prstGeom prst="roundRect">
            <a:avLst>
              <a:gd name="adj" fmla="val 7143"/>
            </a:avLst>
          </a:prstGeom>
          <a:solidFill>
            <a:srgbClr val="179C7D"/>
          </a:solidFill>
          <a:ln w="9525" cap="flat" cmpd="sng" algn="ctr">
            <a:solidFill>
              <a:srgbClr val="179C7D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0" tIns="45720" rIns="0" bIns="18000" numCol="1" rtlCol="0" anchor="b" anchorCtr="0" compatLnSpc="1">
            <a:prstTxWarp prst="textNoShape">
              <a:avLst/>
            </a:prstTxWarp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lvl="0" algn="ctr" fontAlgn="base">
              <a:spcBef>
                <a:spcPct val="0"/>
              </a:spcBef>
              <a:spcAft>
                <a:spcPct val="0"/>
              </a:spcAft>
            </a:pPr>
            <a:r>
              <a:rPr lang="de-DE" sz="1100">
                <a:solidFill>
                  <a:sysClr val="window" lastClr="FFFFFF"/>
                </a:solidFill>
                <a:latin typeface="Frutiger LT Com 45 Light"/>
              </a:rPr>
              <a:t>Mechanische Entstückung</a:t>
            </a:r>
          </a:p>
        </xdr:txBody>
      </xdr:sp>
      <xdr:grpSp>
        <xdr:nvGrpSpPr>
          <xdr:cNvPr id="240" name="Gruppieren 239">
            <a:extLst>
              <a:ext uri="{FF2B5EF4-FFF2-40B4-BE49-F238E27FC236}">
                <a16:creationId xmlns:a16="http://schemas.microsoft.com/office/drawing/2014/main" id="{EC9B83E8-EC7F-4E0A-87CD-D8FD86E2216E}"/>
              </a:ext>
            </a:extLst>
          </xdr:cNvPr>
          <xdr:cNvGrpSpPr/>
        </xdr:nvGrpSpPr>
        <xdr:grpSpPr>
          <a:xfrm>
            <a:off x="1021331" y="1372832"/>
            <a:ext cx="1080000" cy="652966"/>
            <a:chOff x="2101331" y="2795238"/>
            <a:chExt cx="1080000" cy="1080000"/>
          </a:xfrm>
          <a:noFill/>
        </xdr:grpSpPr>
        <xdr:sp macro="" textlink="">
          <xdr:nvSpPr>
            <xdr:cNvPr id="272" name="Rechteck 271">
              <a:extLst>
                <a:ext uri="{FF2B5EF4-FFF2-40B4-BE49-F238E27FC236}">
                  <a16:creationId xmlns:a16="http://schemas.microsoft.com/office/drawing/2014/main" id="{35FB3A4F-8646-4BE6-9EFB-CF6AA27FC99C}"/>
                </a:ext>
              </a:extLst>
            </xdr:cNvPr>
            <xdr:cNvSpPr/>
          </xdr:nvSpPr>
          <xdr:spPr bwMode="auto">
            <a:xfrm>
              <a:off x="2101331" y="2795238"/>
              <a:ext cx="1080000" cy="539997"/>
            </a:xfrm>
            <a:prstGeom prst="rect">
              <a:avLst/>
            </a:prstGeom>
            <a:grpFill/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  <xdr:sp macro="" textlink="">
          <xdr:nvSpPr>
            <xdr:cNvPr id="273" name="Rechteck 272">
              <a:extLst>
                <a:ext uri="{FF2B5EF4-FFF2-40B4-BE49-F238E27FC236}">
                  <a16:creationId xmlns:a16="http://schemas.microsoft.com/office/drawing/2014/main" id="{73820A0D-70C7-4B8F-8A89-D083644AB7F3}"/>
                </a:ext>
              </a:extLst>
            </xdr:cNvPr>
            <xdr:cNvSpPr/>
          </xdr:nvSpPr>
          <xdr:spPr bwMode="auto">
            <a:xfrm>
              <a:off x="2101331" y="3335241"/>
              <a:ext cx="1080000" cy="539997"/>
            </a:xfrm>
            <a:prstGeom prst="rect">
              <a:avLst/>
            </a:prstGeom>
            <a:grpFill/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</xdr:grpSp>
      <xdr:sp macro="" textlink="">
        <xdr:nvSpPr>
          <xdr:cNvPr id="241" name="Abgerundetes Rechteck 240"/>
          <xdr:cNvSpPr/>
        </xdr:nvSpPr>
        <xdr:spPr bwMode="auto">
          <a:xfrm>
            <a:off x="3259970" y="1159315"/>
            <a:ext cx="1080000" cy="1080000"/>
          </a:xfrm>
          <a:prstGeom prst="roundRect">
            <a:avLst>
              <a:gd name="adj" fmla="val 7143"/>
            </a:avLst>
          </a:prstGeom>
          <a:solidFill>
            <a:srgbClr val="179C7D"/>
          </a:solidFill>
          <a:ln w="9525" cap="flat" cmpd="sng" algn="ctr">
            <a:solidFill>
              <a:srgbClr val="179C7D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0" tIns="45720" rIns="0" bIns="18000" numCol="1" rtlCol="0" anchor="b" anchorCtr="0" compatLnSpc="1">
            <a:prstTxWarp prst="textNoShape">
              <a:avLst/>
            </a:prstTxWarp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lvl="0" algn="ctr" fontAlgn="base">
              <a:spcBef>
                <a:spcPct val="0"/>
              </a:spcBef>
              <a:spcAft>
                <a:spcPct val="0"/>
              </a:spcAft>
            </a:pPr>
            <a:r>
              <a:rPr lang="de-DE" sz="1100">
                <a:solidFill>
                  <a:sysClr val="window" lastClr="FFFFFF"/>
                </a:solidFill>
                <a:latin typeface="Frutiger LT Com 45 Light"/>
              </a:rPr>
              <a:t>Sensorgestützte Sortierung</a:t>
            </a:r>
          </a:p>
        </xdr:txBody>
      </xdr:sp>
      <xdr:pic>
        <xdr:nvPicPr>
          <xdr:cNvPr id="242" name="Grafik 241" descr="Ein Bild, das Schild, Zeichnung, Hemd enthält.&#10;&#10;Automatisch generierte Beschreibung">
            <a:extLst>
              <a:ext uri="{FF2B5EF4-FFF2-40B4-BE49-F238E27FC236}">
                <a16:creationId xmlns:a16="http://schemas.microsoft.com/office/drawing/2014/main" id="{33FFA7E4-17F9-416A-BF54-9E8FA7B07E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45" y="1290073"/>
            <a:ext cx="506650" cy="506650"/>
          </a:xfrm>
          <a:prstGeom prst="rect">
            <a:avLst/>
          </a:prstGeom>
        </xdr:spPr>
      </xdr:pic>
      <xdr:grpSp>
        <xdr:nvGrpSpPr>
          <xdr:cNvPr id="243" name="Gruppieren 242">
            <a:extLst>
              <a:ext uri="{FF2B5EF4-FFF2-40B4-BE49-F238E27FC236}">
                <a16:creationId xmlns:a16="http://schemas.microsoft.com/office/drawing/2014/main" id="{AD9BB98D-4ECA-448D-AF89-8C86C77290EA}"/>
              </a:ext>
            </a:extLst>
          </xdr:cNvPr>
          <xdr:cNvGrpSpPr/>
        </xdr:nvGrpSpPr>
        <xdr:grpSpPr>
          <a:xfrm>
            <a:off x="3259970" y="1372835"/>
            <a:ext cx="1080000" cy="652960"/>
            <a:chOff x="3957190" y="3467536"/>
            <a:chExt cx="1080000" cy="1079994"/>
          </a:xfrm>
          <a:noFill/>
        </xdr:grpSpPr>
        <xdr:sp macro="" textlink="">
          <xdr:nvSpPr>
            <xdr:cNvPr id="270" name="Rechteck 269">
              <a:extLst>
                <a:ext uri="{FF2B5EF4-FFF2-40B4-BE49-F238E27FC236}">
                  <a16:creationId xmlns:a16="http://schemas.microsoft.com/office/drawing/2014/main" id="{3B1BA29F-D1F6-4847-839F-99FA723F0217}"/>
                </a:ext>
              </a:extLst>
            </xdr:cNvPr>
            <xdr:cNvSpPr/>
          </xdr:nvSpPr>
          <xdr:spPr bwMode="auto">
            <a:xfrm>
              <a:off x="3957190" y="3467536"/>
              <a:ext cx="1080000" cy="539997"/>
            </a:xfrm>
            <a:prstGeom prst="rect">
              <a:avLst/>
            </a:prstGeom>
            <a:grpFill/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  <xdr:sp macro="" textlink="">
          <xdr:nvSpPr>
            <xdr:cNvPr id="271" name="Rechteck 270">
              <a:extLst>
                <a:ext uri="{FF2B5EF4-FFF2-40B4-BE49-F238E27FC236}">
                  <a16:creationId xmlns:a16="http://schemas.microsoft.com/office/drawing/2014/main" id="{6F9CC8BF-68E9-4681-BBE4-79B3D2334588}"/>
                </a:ext>
              </a:extLst>
            </xdr:cNvPr>
            <xdr:cNvSpPr/>
          </xdr:nvSpPr>
          <xdr:spPr bwMode="auto">
            <a:xfrm>
              <a:off x="3957190" y="4007533"/>
              <a:ext cx="1080000" cy="539997"/>
            </a:xfrm>
            <a:prstGeom prst="rect">
              <a:avLst/>
            </a:prstGeom>
            <a:grpFill/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</xdr:grpSp>
      <xdr:sp macro="" textlink="">
        <xdr:nvSpPr>
          <xdr:cNvPr id="244" name="Abgerundetes Rechteck 243"/>
          <xdr:cNvSpPr/>
        </xdr:nvSpPr>
        <xdr:spPr bwMode="auto">
          <a:xfrm>
            <a:off x="5498609" y="1159315"/>
            <a:ext cx="1080000" cy="1080000"/>
          </a:xfrm>
          <a:prstGeom prst="roundRect">
            <a:avLst>
              <a:gd name="adj" fmla="val 7143"/>
            </a:avLst>
          </a:prstGeom>
          <a:solidFill>
            <a:srgbClr val="179C7D"/>
          </a:solidFill>
          <a:ln w="9525" cap="flat" cmpd="sng" algn="ctr">
            <a:solidFill>
              <a:srgbClr val="179C7D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0" tIns="45720" rIns="0" bIns="18000" numCol="1" rtlCol="0" anchor="b" anchorCtr="0" compatLnSpc="1">
            <a:prstTxWarp prst="textNoShape">
              <a:avLst/>
            </a:prstTxWarp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lvl="0" algn="ctr" fontAlgn="base">
              <a:spcBef>
                <a:spcPct val="0"/>
              </a:spcBef>
              <a:spcAft>
                <a:spcPct val="0"/>
              </a:spcAft>
            </a:pPr>
            <a:r>
              <a:rPr lang="de-DE" sz="1100">
                <a:solidFill>
                  <a:sysClr val="window" lastClr="FFFFFF"/>
                </a:solidFill>
                <a:latin typeface="Frutiger LT Com 45 Light"/>
              </a:rPr>
              <a:t>Metallurgische Verwertung</a:t>
            </a:r>
          </a:p>
        </xdr:txBody>
      </xdr:sp>
      <xdr:pic>
        <xdr:nvPicPr>
          <xdr:cNvPr id="245" name="Grafik 244" descr="Ein Bild, das Fenster, Zeichnung enthält.&#10;&#10;Automatisch generierte Beschreibung">
            <a:extLst>
              <a:ext uri="{FF2B5EF4-FFF2-40B4-BE49-F238E27FC236}">
                <a16:creationId xmlns:a16="http://schemas.microsoft.com/office/drawing/2014/main" id="{F35E39E6-9B61-49B4-BDCD-EA73CD493C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85284" y="1290073"/>
            <a:ext cx="506650" cy="506650"/>
          </a:xfrm>
          <a:prstGeom prst="rect">
            <a:avLst/>
          </a:prstGeom>
        </xdr:spPr>
      </xdr:pic>
      <xdr:grpSp>
        <xdr:nvGrpSpPr>
          <xdr:cNvPr id="246" name="Gruppieren 245">
            <a:extLst>
              <a:ext uri="{FF2B5EF4-FFF2-40B4-BE49-F238E27FC236}">
                <a16:creationId xmlns:a16="http://schemas.microsoft.com/office/drawing/2014/main" id="{AD987F7F-2B2F-4D92-AAC3-161750D4952E}"/>
              </a:ext>
            </a:extLst>
          </xdr:cNvPr>
          <xdr:cNvGrpSpPr/>
        </xdr:nvGrpSpPr>
        <xdr:grpSpPr>
          <a:xfrm>
            <a:off x="5498609" y="1372835"/>
            <a:ext cx="1080000" cy="652960"/>
            <a:chOff x="3957190" y="3467536"/>
            <a:chExt cx="1080000" cy="1079994"/>
          </a:xfrm>
          <a:noFill/>
        </xdr:grpSpPr>
        <xdr:sp macro="" textlink="">
          <xdr:nvSpPr>
            <xdr:cNvPr id="268" name="Rechteck 267">
              <a:extLst>
                <a:ext uri="{FF2B5EF4-FFF2-40B4-BE49-F238E27FC236}">
                  <a16:creationId xmlns:a16="http://schemas.microsoft.com/office/drawing/2014/main" id="{8932136F-2314-4D85-94FE-A0E867F2BA90}"/>
                </a:ext>
              </a:extLst>
            </xdr:cNvPr>
            <xdr:cNvSpPr/>
          </xdr:nvSpPr>
          <xdr:spPr bwMode="auto">
            <a:xfrm>
              <a:off x="3957190" y="3467536"/>
              <a:ext cx="1080000" cy="539997"/>
            </a:xfrm>
            <a:prstGeom prst="rect">
              <a:avLst/>
            </a:prstGeom>
            <a:grpFill/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  <xdr:sp macro="" textlink="">
          <xdr:nvSpPr>
            <xdr:cNvPr id="269" name="Rechteck 268">
              <a:extLst>
                <a:ext uri="{FF2B5EF4-FFF2-40B4-BE49-F238E27FC236}">
                  <a16:creationId xmlns:a16="http://schemas.microsoft.com/office/drawing/2014/main" id="{52EAF10B-3A88-4F19-96CA-855C4C0C6A63}"/>
                </a:ext>
              </a:extLst>
            </xdr:cNvPr>
            <xdr:cNvSpPr/>
          </xdr:nvSpPr>
          <xdr:spPr bwMode="auto">
            <a:xfrm>
              <a:off x="3957190" y="4007533"/>
              <a:ext cx="1080000" cy="539997"/>
            </a:xfrm>
            <a:prstGeom prst="rect">
              <a:avLst/>
            </a:prstGeom>
            <a:grpFill/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</xdr:grpSp>
      <xdr:sp macro="" textlink="">
        <xdr:nvSpPr>
          <xdr:cNvPr id="247" name="Abgerundetes Rechteck 246"/>
          <xdr:cNvSpPr/>
        </xdr:nvSpPr>
        <xdr:spPr bwMode="auto">
          <a:xfrm>
            <a:off x="7737249" y="1159315"/>
            <a:ext cx="1080000" cy="1080000"/>
          </a:xfrm>
          <a:prstGeom prst="roundRect">
            <a:avLst>
              <a:gd name="adj" fmla="val 7143"/>
            </a:avLst>
          </a:prstGeom>
          <a:solidFill>
            <a:srgbClr val="179C7D"/>
          </a:solidFill>
          <a:ln w="9525" cap="flat" cmpd="sng" algn="ctr">
            <a:solidFill>
              <a:srgbClr val="179C7D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0" tIns="45720" rIns="0" bIns="18000" numCol="1" rtlCol="0" anchor="b" anchorCtr="0" compatLnSpc="1">
            <a:prstTxWarp prst="textNoShape">
              <a:avLst/>
            </a:prstTxWarp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lvl="0" algn="ctr" fontAlgn="base">
              <a:spcBef>
                <a:spcPct val="0"/>
              </a:spcBef>
              <a:spcAft>
                <a:spcPct val="0"/>
              </a:spcAft>
            </a:pPr>
            <a:r>
              <a:rPr lang="de-DE" sz="1100">
                <a:solidFill>
                  <a:sysClr val="window" lastClr="FFFFFF"/>
                </a:solidFill>
                <a:latin typeface="Frutiger LT Com 45 Light"/>
              </a:rPr>
              <a:t>Veredelung &amp; Rückführung</a:t>
            </a:r>
          </a:p>
        </xdr:txBody>
      </xdr:sp>
      <xdr:pic>
        <xdr:nvPicPr>
          <xdr:cNvPr id="248" name="Grafik 247" descr="Ein Bild, das Schild, Zeichnung enthält.&#10;&#10;Automatisch generierte Beschreibung">
            <a:extLst>
              <a:ext uri="{FF2B5EF4-FFF2-40B4-BE49-F238E27FC236}">
                <a16:creationId xmlns:a16="http://schemas.microsoft.com/office/drawing/2014/main" id="{31DE2676-3D65-4A9B-95EA-BE6B5DCCBA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23925" y="1290073"/>
            <a:ext cx="506650" cy="506650"/>
          </a:xfrm>
          <a:prstGeom prst="rect">
            <a:avLst/>
          </a:prstGeom>
        </xdr:spPr>
      </xdr:pic>
      <xdr:grpSp>
        <xdr:nvGrpSpPr>
          <xdr:cNvPr id="249" name="Gruppieren 248">
            <a:extLst>
              <a:ext uri="{FF2B5EF4-FFF2-40B4-BE49-F238E27FC236}">
                <a16:creationId xmlns:a16="http://schemas.microsoft.com/office/drawing/2014/main" id="{3D494766-7A8C-467A-91C6-A8462C3BC31A}"/>
              </a:ext>
            </a:extLst>
          </xdr:cNvPr>
          <xdr:cNvGrpSpPr/>
        </xdr:nvGrpSpPr>
        <xdr:grpSpPr>
          <a:xfrm>
            <a:off x="7737249" y="1372835"/>
            <a:ext cx="1080000" cy="652960"/>
            <a:chOff x="3957190" y="3467536"/>
            <a:chExt cx="1080000" cy="1079994"/>
          </a:xfrm>
          <a:noFill/>
        </xdr:grpSpPr>
        <xdr:sp macro="" textlink="">
          <xdr:nvSpPr>
            <xdr:cNvPr id="266" name="Rechteck 265">
              <a:extLst>
                <a:ext uri="{FF2B5EF4-FFF2-40B4-BE49-F238E27FC236}">
                  <a16:creationId xmlns:a16="http://schemas.microsoft.com/office/drawing/2014/main" id="{002DCADE-737D-4EF2-9F96-329DFACDE087}"/>
                </a:ext>
              </a:extLst>
            </xdr:cNvPr>
            <xdr:cNvSpPr/>
          </xdr:nvSpPr>
          <xdr:spPr bwMode="auto">
            <a:xfrm>
              <a:off x="3957190" y="3467536"/>
              <a:ext cx="1080000" cy="539997"/>
            </a:xfrm>
            <a:prstGeom prst="rect">
              <a:avLst/>
            </a:prstGeom>
            <a:grpFill/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  <xdr:sp macro="" textlink="">
          <xdr:nvSpPr>
            <xdr:cNvPr id="267" name="Rechteck 266">
              <a:extLst>
                <a:ext uri="{FF2B5EF4-FFF2-40B4-BE49-F238E27FC236}">
                  <a16:creationId xmlns:a16="http://schemas.microsoft.com/office/drawing/2014/main" id="{4C3D326B-6FCD-4D38-9983-B7EE667F1DDF}"/>
                </a:ext>
              </a:extLst>
            </xdr:cNvPr>
            <xdr:cNvSpPr/>
          </xdr:nvSpPr>
          <xdr:spPr bwMode="auto">
            <a:xfrm>
              <a:off x="3957190" y="4007533"/>
              <a:ext cx="1080000" cy="539997"/>
            </a:xfrm>
            <a:prstGeom prst="rect">
              <a:avLst/>
            </a:prstGeom>
            <a:grpFill/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</xdr:grpSp>
      <xdr:grpSp>
        <xdr:nvGrpSpPr>
          <xdr:cNvPr id="250" name="Gruppieren 249">
            <a:extLst>
              <a:ext uri="{FF2B5EF4-FFF2-40B4-BE49-F238E27FC236}">
                <a16:creationId xmlns:a16="http://schemas.microsoft.com/office/drawing/2014/main" id="{D3A473BB-8B48-4AE8-A021-6B37651999DC}"/>
              </a:ext>
            </a:extLst>
          </xdr:cNvPr>
          <xdr:cNvGrpSpPr>
            <a:grpSpLocks noChangeAspect="1"/>
          </xdr:cNvGrpSpPr>
        </xdr:nvGrpSpPr>
        <xdr:grpSpPr>
          <a:xfrm>
            <a:off x="2500650" y="1356074"/>
            <a:ext cx="360000" cy="360000"/>
            <a:chOff x="3449658" y="3037546"/>
            <a:chExt cx="288000" cy="288000"/>
          </a:xfrm>
        </xdr:grpSpPr>
        <xdr:sp macro="" textlink="">
          <xdr:nvSpPr>
            <xdr:cNvPr id="264" name="Rechteck 263">
              <a:extLst>
                <a:ext uri="{FF2B5EF4-FFF2-40B4-BE49-F238E27FC236}">
                  <a16:creationId xmlns:a16="http://schemas.microsoft.com/office/drawing/2014/main" id="{C29F929D-DF51-4369-8FC1-96F61987D404}"/>
                </a:ext>
              </a:extLst>
            </xdr:cNvPr>
            <xdr:cNvSpPr/>
          </xdr:nvSpPr>
          <xdr:spPr bwMode="auto">
            <a:xfrm>
              <a:off x="3449658" y="3037546"/>
              <a:ext cx="288000" cy="288000"/>
            </a:xfrm>
            <a:prstGeom prst="rect">
              <a:avLst/>
            </a:prstGeom>
            <a:solidFill>
              <a:sysClr val="window" lastClr="FFFFFF"/>
            </a:solidFill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  <xdr:pic>
          <xdr:nvPicPr>
            <xdr:cNvPr id="265" name="Grafik 264">
              <a:extLst>
                <a:ext uri="{FF2B5EF4-FFF2-40B4-BE49-F238E27FC236}">
                  <a16:creationId xmlns:a16="http://schemas.microsoft.com/office/drawing/2014/main" id="{872214CA-1C92-4F48-9391-9E97D00B986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p="http://schemas.openxmlformats.org/presentationml/2006/main" xmlns:asvg="http://schemas.microsoft.com/office/drawing/2016/SVG/main" xmlns="" xmlns:lc="http://schemas.openxmlformats.org/drawingml/2006/lockedCanvas" r:embed="rId12"/>
                </a:ext>
              </a:extLst>
            </a:blip>
            <a:stretch>
              <a:fillRect/>
            </a:stretch>
          </xdr:blipFill>
          <xdr:spPr>
            <a:xfrm>
              <a:off x="3472800" y="3060688"/>
              <a:ext cx="241715" cy="241715"/>
            </a:xfrm>
            <a:prstGeom prst="rect">
              <a:avLst/>
            </a:prstGeom>
          </xdr:spPr>
        </xdr:pic>
      </xdr:grpSp>
      <xdr:grpSp>
        <xdr:nvGrpSpPr>
          <xdr:cNvPr id="251" name="Gruppieren 250">
            <a:extLst>
              <a:ext uri="{FF2B5EF4-FFF2-40B4-BE49-F238E27FC236}">
                <a16:creationId xmlns:a16="http://schemas.microsoft.com/office/drawing/2014/main" id="{98A06623-F34C-4FD2-81E4-44E95784CCD6}"/>
              </a:ext>
            </a:extLst>
          </xdr:cNvPr>
          <xdr:cNvGrpSpPr>
            <a:grpSpLocks noChangeAspect="1"/>
          </xdr:cNvGrpSpPr>
        </xdr:nvGrpSpPr>
        <xdr:grpSpPr>
          <a:xfrm>
            <a:off x="6977928" y="1356074"/>
            <a:ext cx="360000" cy="360000"/>
            <a:chOff x="7206938" y="3023633"/>
            <a:chExt cx="288000" cy="288000"/>
          </a:xfrm>
        </xdr:grpSpPr>
        <xdr:sp macro="" textlink="">
          <xdr:nvSpPr>
            <xdr:cNvPr id="262" name="Rechteck 261">
              <a:extLst>
                <a:ext uri="{FF2B5EF4-FFF2-40B4-BE49-F238E27FC236}">
                  <a16:creationId xmlns:a16="http://schemas.microsoft.com/office/drawing/2014/main" id="{897CF926-AD5F-4896-B128-39F96FAEFF4C}"/>
                </a:ext>
              </a:extLst>
            </xdr:cNvPr>
            <xdr:cNvSpPr/>
          </xdr:nvSpPr>
          <xdr:spPr bwMode="auto">
            <a:xfrm>
              <a:off x="7206938" y="3023633"/>
              <a:ext cx="288000" cy="288000"/>
            </a:xfrm>
            <a:prstGeom prst="rect">
              <a:avLst/>
            </a:prstGeom>
            <a:solidFill>
              <a:sysClr val="window" lastClr="FFFFFF"/>
            </a:solidFill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  <xdr:pic>
          <xdr:nvPicPr>
            <xdr:cNvPr id="263" name="Grafik 262">
              <a:extLst>
                <a:ext uri="{FF2B5EF4-FFF2-40B4-BE49-F238E27FC236}">
                  <a16:creationId xmlns:a16="http://schemas.microsoft.com/office/drawing/2014/main" id="{57DA0C34-B9B8-42E1-816F-B9D1E4B1599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p="http://schemas.openxmlformats.org/presentationml/2006/main" xmlns:asvg="http://schemas.microsoft.com/office/drawing/2016/SVG/main" xmlns="" xmlns:lc="http://schemas.openxmlformats.org/drawingml/2006/lockedCanvas" r:embed="rId5"/>
                </a:ext>
              </a:extLst>
            </a:blip>
            <a:stretch>
              <a:fillRect/>
            </a:stretch>
          </xdr:blipFill>
          <xdr:spPr>
            <a:xfrm>
              <a:off x="7230080" y="3046776"/>
              <a:ext cx="241715" cy="241715"/>
            </a:xfrm>
            <a:prstGeom prst="rect">
              <a:avLst/>
            </a:prstGeom>
          </xdr:spPr>
        </xdr:pic>
      </xdr:grpSp>
      <xdr:cxnSp macro="">
        <xdr:nvCxnSpPr>
          <xdr:cNvPr id="252" name="Gerade Verbindung mit Pfeil 251"/>
          <xdr:cNvCxnSpPr>
            <a:cxnSpLocks/>
          </xdr:cNvCxnSpPr>
        </xdr:nvCxnSpPr>
        <xdr:spPr bwMode="auto">
          <a:xfrm>
            <a:off x="217487" y="1536074"/>
            <a:ext cx="803843" cy="0"/>
          </a:xfrm>
          <a:prstGeom prst="straightConnector1">
            <a:avLst/>
          </a:prstGeom>
          <a:solidFill>
            <a:srgbClr val="DDDDDD"/>
          </a:solidFill>
          <a:ln w="9525" cap="flat" cmpd="sng" algn="ctr">
            <a:solidFill>
              <a:srgbClr val="FF6600"/>
            </a:solidFill>
            <a:prstDash val="solid"/>
            <a:round/>
            <a:headEnd type="none" w="med" len="med"/>
            <a:tailEnd type="triangle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grpSp>
        <xdr:nvGrpSpPr>
          <xdr:cNvPr id="253" name="Gruppieren 252">
            <a:extLst>
              <a:ext uri="{FF2B5EF4-FFF2-40B4-BE49-F238E27FC236}">
                <a16:creationId xmlns:a16="http://schemas.microsoft.com/office/drawing/2014/main" id="{9EB7DDF8-1E14-4EA4-A65C-96E3D2BD60B7}"/>
              </a:ext>
            </a:extLst>
          </xdr:cNvPr>
          <xdr:cNvGrpSpPr>
            <a:grpSpLocks noChangeAspect="1"/>
          </xdr:cNvGrpSpPr>
        </xdr:nvGrpSpPr>
        <xdr:grpSpPr>
          <a:xfrm>
            <a:off x="439408" y="1356074"/>
            <a:ext cx="360000" cy="360000"/>
            <a:chOff x="1568146" y="3023635"/>
            <a:chExt cx="288000" cy="288000"/>
          </a:xfrm>
        </xdr:grpSpPr>
        <xdr:sp macro="" textlink="">
          <xdr:nvSpPr>
            <xdr:cNvPr id="260" name="Rechteck 259">
              <a:extLst>
                <a:ext uri="{FF2B5EF4-FFF2-40B4-BE49-F238E27FC236}">
                  <a16:creationId xmlns:a16="http://schemas.microsoft.com/office/drawing/2014/main" id="{00B49DC7-2E03-4077-8E8D-9EE55B8640B6}"/>
                </a:ext>
              </a:extLst>
            </xdr:cNvPr>
            <xdr:cNvSpPr/>
          </xdr:nvSpPr>
          <xdr:spPr bwMode="auto">
            <a:xfrm>
              <a:off x="1568146" y="3023635"/>
              <a:ext cx="288000" cy="288000"/>
            </a:xfrm>
            <a:prstGeom prst="rect">
              <a:avLst/>
            </a:prstGeom>
            <a:solidFill>
              <a:sysClr val="window" lastClr="FFFFFF"/>
            </a:solidFill>
            <a:ln w="285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000000"/>
                  </a:solidFill>
                  <a:latin typeface="Frutiger LT Com 55 Roman"/>
                </a:defRPr>
              </a:lvl9pPr>
            </a:lstStyle>
            <a:p>
              <a:pPr marL="0" marR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de-DE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Frutiger LT Com 45 Light"/>
              </a:endParaRPr>
            </a:p>
          </xdr:txBody>
        </xdr:sp>
        <xdr:pic>
          <xdr:nvPicPr>
            <xdr:cNvPr id="261" name="Grafik 260">
              <a:extLst>
                <a:ext uri="{FF2B5EF4-FFF2-40B4-BE49-F238E27FC236}">
                  <a16:creationId xmlns:a16="http://schemas.microsoft.com/office/drawing/2014/main" id="{9F54F4BC-4880-41FF-BD52-DE5B6C04943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p="http://schemas.openxmlformats.org/presentationml/2006/main" xmlns:asvg="http://schemas.microsoft.com/office/drawing/2016/SVG/main" xmlns="" xmlns:lc="http://schemas.openxmlformats.org/drawingml/2006/lockedCanvas" r:embed="rId13"/>
                </a:ext>
              </a:extLst>
            </a:blip>
            <a:stretch>
              <a:fillRect/>
            </a:stretch>
          </xdr:blipFill>
          <xdr:spPr>
            <a:xfrm>
              <a:off x="1591288" y="3046777"/>
              <a:ext cx="241715" cy="241715"/>
            </a:xfrm>
            <a:prstGeom prst="rect">
              <a:avLst/>
            </a:prstGeom>
          </xdr:spPr>
        </xdr:pic>
      </xdr:grpSp>
      <xdr:sp macro="" textlink="">
        <xdr:nvSpPr>
          <xdr:cNvPr id="254" name="Textfeld 66">
            <a:extLst>
              <a:ext uri="{FF2B5EF4-FFF2-40B4-BE49-F238E27FC236}">
                <a16:creationId xmlns:a16="http://schemas.microsoft.com/office/drawing/2014/main" id="{7469BB11-E7C7-40BF-9AB6-182C48F34210}"/>
              </a:ext>
            </a:extLst>
          </xdr:cNvPr>
          <xdr:cNvSpPr txBox="1"/>
        </xdr:nvSpPr>
        <xdr:spPr>
          <a:xfrm>
            <a:off x="4644985" y="904832"/>
            <a:ext cx="548610" cy="468000"/>
          </a:xfrm>
          <a:prstGeom prst="rect">
            <a:avLst/>
          </a:prstGeom>
          <a:noFill/>
          <a:ln w="2857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rot="0" spcFirstLastPara="0" vert="horz" wrap="square" lIns="72000" tIns="0" rIns="7200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algn="ctr"/>
            <a:r>
              <a:rPr lang="de-DE" sz="1100">
                <a:solidFill>
                  <a:srgbClr val="FF6600"/>
                </a:solidFill>
                <a:latin typeface="Frutiger LT Com 45 Light"/>
              </a:rPr>
              <a:t>SMD</a:t>
            </a:r>
          </a:p>
        </xdr:txBody>
      </xdr:sp>
      <xdr:sp macro="" textlink="">
        <xdr:nvSpPr>
          <xdr:cNvPr id="255" name="Textfeld 72">
            <a:extLst>
              <a:ext uri="{FF2B5EF4-FFF2-40B4-BE49-F238E27FC236}">
                <a16:creationId xmlns:a16="http://schemas.microsoft.com/office/drawing/2014/main" id="{345DECAB-7BAA-48E2-9783-A8BE0C981CFC}"/>
              </a:ext>
            </a:extLst>
          </xdr:cNvPr>
          <xdr:cNvSpPr txBox="1"/>
        </xdr:nvSpPr>
        <xdr:spPr>
          <a:xfrm>
            <a:off x="8695618" y="894296"/>
            <a:ext cx="1047110" cy="468000"/>
          </a:xfrm>
          <a:prstGeom prst="rect">
            <a:avLst/>
          </a:prstGeom>
          <a:noFill/>
          <a:ln w="2857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rot="0" spcFirstLastPara="0" vert="horz" wrap="square" lIns="72000" tIns="0" rIns="7200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algn="ctr"/>
            <a:r>
              <a:rPr lang="de-DE" sz="1100">
                <a:solidFill>
                  <a:srgbClr val="FF6600"/>
                </a:solidFill>
                <a:latin typeface="Frutiger LT Com 45 Light"/>
              </a:rPr>
              <a:t>Aufbereitetes</a:t>
            </a:r>
            <a:br>
              <a:rPr lang="de-DE" sz="1100">
                <a:solidFill>
                  <a:srgbClr val="FF6600"/>
                </a:solidFill>
                <a:latin typeface="Frutiger LT Com 45 Light"/>
              </a:rPr>
            </a:br>
            <a:r>
              <a:rPr lang="de-DE" sz="1100">
                <a:solidFill>
                  <a:srgbClr val="FF6600"/>
                </a:solidFill>
                <a:latin typeface="Frutiger LT Com 45 Light"/>
              </a:rPr>
              <a:t>Technologie-metall</a:t>
            </a:r>
          </a:p>
        </xdr:txBody>
      </xdr:sp>
      <xdr:sp macro="" textlink="">
        <xdr:nvSpPr>
          <xdr:cNvPr id="256" name="Textfeld 63">
            <a:extLst>
              <a:ext uri="{FF2B5EF4-FFF2-40B4-BE49-F238E27FC236}">
                <a16:creationId xmlns:a16="http://schemas.microsoft.com/office/drawing/2014/main" id="{04E10507-DBAA-47E8-813B-5C4322EB8C02}"/>
              </a:ext>
            </a:extLst>
          </xdr:cNvPr>
          <xdr:cNvSpPr txBox="1"/>
        </xdr:nvSpPr>
        <xdr:spPr>
          <a:xfrm>
            <a:off x="2216848" y="904832"/>
            <a:ext cx="927604" cy="468000"/>
          </a:xfrm>
          <a:prstGeom prst="rect">
            <a:avLst/>
          </a:prstGeom>
          <a:noFill/>
          <a:ln w="2857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rot="0" spcFirstLastPara="0" vert="horz" wrap="square" lIns="72000" tIns="0" rIns="7200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algn="ctr"/>
            <a:r>
              <a:rPr lang="de-DE" sz="1100">
                <a:solidFill>
                  <a:srgbClr val="FF6600"/>
                </a:solidFill>
                <a:latin typeface="Frutiger LT Com 45 Light"/>
              </a:rPr>
              <a:t>Zerkleinerte PCB</a:t>
            </a:r>
          </a:p>
        </xdr:txBody>
      </xdr:sp>
      <xdr:sp macro="" textlink="">
        <xdr:nvSpPr>
          <xdr:cNvPr id="257" name="Textfeld 69">
            <a:extLst>
              <a:ext uri="{FF2B5EF4-FFF2-40B4-BE49-F238E27FC236}">
                <a16:creationId xmlns:a16="http://schemas.microsoft.com/office/drawing/2014/main" id="{345DECAB-7BAA-48E2-9783-A8BE0C981CFC}"/>
              </a:ext>
            </a:extLst>
          </xdr:cNvPr>
          <xdr:cNvSpPr txBox="1"/>
        </xdr:nvSpPr>
        <xdr:spPr>
          <a:xfrm>
            <a:off x="6691764" y="904833"/>
            <a:ext cx="932330" cy="468000"/>
          </a:xfrm>
          <a:prstGeom prst="rect">
            <a:avLst/>
          </a:prstGeom>
          <a:noFill/>
          <a:ln w="2857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rot="0" spcFirstLastPara="0" vert="horz" wrap="square" lIns="72000" tIns="0" rIns="7200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algn="ctr"/>
            <a:r>
              <a:rPr lang="de-DE" sz="1100">
                <a:solidFill>
                  <a:srgbClr val="FF6600"/>
                </a:solidFill>
                <a:latin typeface="Frutiger LT Com 45 Light"/>
              </a:rPr>
              <a:t>Technologie-metalle</a:t>
            </a:r>
          </a:p>
        </xdr:txBody>
      </xdr:sp>
      <xdr:sp macro="" textlink="">
        <xdr:nvSpPr>
          <xdr:cNvPr id="258" name="Textfeld 60">
            <a:extLst>
              <a:ext uri="{FF2B5EF4-FFF2-40B4-BE49-F238E27FC236}">
                <a16:creationId xmlns:a16="http://schemas.microsoft.com/office/drawing/2014/main" id="{04E10507-DBAA-47E8-813B-5C4322EB8C02}"/>
              </a:ext>
            </a:extLst>
          </xdr:cNvPr>
          <xdr:cNvSpPr txBox="1"/>
        </xdr:nvSpPr>
        <xdr:spPr>
          <a:xfrm>
            <a:off x="353009" y="904832"/>
            <a:ext cx="532800" cy="468000"/>
          </a:xfrm>
          <a:prstGeom prst="rect">
            <a:avLst/>
          </a:prstGeom>
          <a:noFill/>
          <a:ln w="2857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rot="0" spcFirstLastPara="0" vert="horz" wrap="square" lIns="72000" tIns="0" rIns="7200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Frutiger LT Com 55 Roman"/>
              </a:defRPr>
            </a:lvl9pPr>
          </a:lstStyle>
          <a:p>
            <a:pPr algn="ctr"/>
            <a:r>
              <a:rPr lang="de-DE" sz="1100">
                <a:solidFill>
                  <a:srgbClr val="FF6600"/>
                </a:solidFill>
                <a:latin typeface="Frutiger LT Com 45 Light"/>
              </a:rPr>
              <a:t>PCB</a:t>
            </a:r>
          </a:p>
        </xdr:txBody>
      </xdr:sp>
      <xdr:pic>
        <xdr:nvPicPr>
          <xdr:cNvPr id="259" name="Grafik 258">
            <a:extLst>
              <a:ext uri="{FF2B5EF4-FFF2-40B4-BE49-F238E27FC236}">
                <a16:creationId xmlns:a16="http://schemas.microsoft.com/office/drawing/2014/main" id="{D49C851A-754F-44F6-A0D8-655792790F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p="http://schemas.openxmlformats.org/presentationml/2006/main" xmlns:asvg="http://schemas.microsoft.com/office/drawing/2016/SVG/main" xmlns="" xmlns:lc="http://schemas.openxmlformats.org/drawingml/2006/lockedCanvas" r:embed="rId33"/>
              </a:ext>
            </a:extLst>
          </a:blip>
          <a:stretch>
            <a:fillRect/>
          </a:stretch>
        </xdr:blipFill>
        <xdr:spPr>
          <a:xfrm>
            <a:off x="1308006" y="1290073"/>
            <a:ext cx="506650" cy="50665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200690</xdr:colOff>
      <xdr:row>2</xdr:row>
      <xdr:rowOff>200933</xdr:rowOff>
    </xdr:from>
    <xdr:to>
      <xdr:col>28</xdr:col>
      <xdr:colOff>515600</xdr:colOff>
      <xdr:row>7</xdr:row>
      <xdr:rowOff>124525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1AACB5A-67CF-49B0-804D-C2A8AC668B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405" t="12896" r="80121"/>
        <a:stretch/>
      </xdr:blipFill>
      <xdr:spPr>
        <a:xfrm>
          <a:off x="21482261" y="718004"/>
          <a:ext cx="1012050" cy="1022596"/>
        </a:xfrm>
        <a:prstGeom prst="rect">
          <a:avLst/>
        </a:prstGeom>
      </xdr:spPr>
    </xdr:pic>
    <xdr:clientData/>
  </xdr:twoCellAnchor>
  <xdr:twoCellAnchor editAs="oneCell">
    <xdr:from>
      <xdr:col>13</xdr:col>
      <xdr:colOff>639536</xdr:colOff>
      <xdr:row>2</xdr:row>
      <xdr:rowOff>229509</xdr:rowOff>
    </xdr:from>
    <xdr:to>
      <xdr:col>15</xdr:col>
      <xdr:colOff>244796</xdr:colOff>
      <xdr:row>7</xdr:row>
      <xdr:rowOff>139941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4C4A702-CDD0-435A-86BC-9F78D36CC5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381" t="12836" r="80146" b="1333"/>
        <a:stretch/>
      </xdr:blipFill>
      <xdr:spPr>
        <a:xfrm>
          <a:off x="12042322" y="746580"/>
          <a:ext cx="993188" cy="10094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409575</xdr:colOff>
      <xdr:row>3</xdr:row>
      <xdr:rowOff>34925</xdr:rowOff>
    </xdr:from>
    <xdr:to>
      <xdr:col>10</xdr:col>
      <xdr:colOff>1116583</xdr:colOff>
      <xdr:row>6</xdr:row>
      <xdr:rowOff>34925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A467627-5CDB-41F2-8D42-4061949027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405" t="12896" r="80121"/>
        <a:stretch/>
      </xdr:blipFill>
      <xdr:spPr>
        <a:xfrm>
          <a:off x="16459200" y="863600"/>
          <a:ext cx="703833" cy="714375"/>
        </a:xfrm>
        <a:prstGeom prst="rect">
          <a:avLst/>
        </a:prstGeom>
      </xdr:spPr>
    </xdr:pic>
    <xdr:clientData/>
  </xdr:twoCellAnchor>
  <xdr:twoCellAnchor editAs="oneCell">
    <xdr:from>
      <xdr:col>4</xdr:col>
      <xdr:colOff>447675</xdr:colOff>
      <xdr:row>3</xdr:row>
      <xdr:rowOff>57151</xdr:rowOff>
    </xdr:from>
    <xdr:to>
      <xdr:col>5</xdr:col>
      <xdr:colOff>11206</xdr:colOff>
      <xdr:row>6</xdr:row>
      <xdr:rowOff>44783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2D46EAD-A2EF-4F07-BADC-C005BAD2FD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381" t="12836" r="80146" b="1333"/>
        <a:stretch/>
      </xdr:blipFill>
      <xdr:spPr>
        <a:xfrm>
          <a:off x="7000875" y="885826"/>
          <a:ext cx="693831" cy="7051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134103</xdr:colOff>
      <xdr:row>2</xdr:row>
      <xdr:rowOff>293472</xdr:rowOff>
    </xdr:from>
    <xdr:to>
      <xdr:col>19</xdr:col>
      <xdr:colOff>8037</xdr:colOff>
      <xdr:row>7</xdr:row>
      <xdr:rowOff>94941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BA2BD86-108E-4E12-AD0F-DF98AC03FA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405" t="12896" r="80121"/>
        <a:stretch/>
      </xdr:blipFill>
      <xdr:spPr>
        <a:xfrm>
          <a:off x="23048532" y="810543"/>
          <a:ext cx="989719" cy="1012505"/>
        </a:xfrm>
        <a:prstGeom prst="rect">
          <a:avLst/>
        </a:prstGeom>
      </xdr:spPr>
    </xdr:pic>
    <xdr:clientData/>
  </xdr:twoCellAnchor>
  <xdr:twoCellAnchor editAs="oneCell">
    <xdr:from>
      <xdr:col>8</xdr:col>
      <xdr:colOff>136072</xdr:colOff>
      <xdr:row>2</xdr:row>
      <xdr:rowOff>295741</xdr:rowOff>
    </xdr:from>
    <xdr:to>
      <xdr:col>9</xdr:col>
      <xdr:colOff>8032</xdr:colOff>
      <xdr:row>7</xdr:row>
      <xdr:rowOff>66002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F8953871-67C7-4C33-BD84-9E97B08E05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381" t="12836" r="80146" b="1333"/>
        <a:stretch/>
      </xdr:blipFill>
      <xdr:spPr>
        <a:xfrm>
          <a:off x="10069286" y="812812"/>
          <a:ext cx="987746" cy="9812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466571</xdr:colOff>
      <xdr:row>3</xdr:row>
      <xdr:rowOff>73025</xdr:rowOff>
    </xdr:from>
    <xdr:to>
      <xdr:col>13</xdr:col>
      <xdr:colOff>545065</xdr:colOff>
      <xdr:row>8</xdr:row>
      <xdr:rowOff>31430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174AC07-46C2-4BD8-8373-1C02F49509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405" t="12896" r="80121"/>
        <a:stretch/>
      </xdr:blipFill>
      <xdr:spPr>
        <a:xfrm>
          <a:off x="16201871" y="815975"/>
          <a:ext cx="989719" cy="1012505"/>
        </a:xfrm>
        <a:prstGeom prst="rect">
          <a:avLst/>
        </a:prstGeom>
      </xdr:spPr>
    </xdr:pic>
    <xdr:clientData/>
  </xdr:twoCellAnchor>
  <xdr:twoCellAnchor editAs="oneCell">
    <xdr:from>
      <xdr:col>5</xdr:col>
      <xdr:colOff>400050</xdr:colOff>
      <xdr:row>3</xdr:row>
      <xdr:rowOff>126094</xdr:rowOff>
    </xdr:from>
    <xdr:to>
      <xdr:col>6</xdr:col>
      <xdr:colOff>254321</xdr:colOff>
      <xdr:row>8</xdr:row>
      <xdr:rowOff>50116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8EB0D48-8CAB-451E-9E36-93401651D7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381" t="12836" r="80146" b="1333"/>
        <a:stretch/>
      </xdr:blipFill>
      <xdr:spPr>
        <a:xfrm>
          <a:off x="6800850" y="869044"/>
          <a:ext cx="990921" cy="9781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252781</xdr:colOff>
      <xdr:row>2</xdr:row>
      <xdr:rowOff>109444</xdr:rowOff>
    </xdr:from>
    <xdr:to>
      <xdr:col>9</xdr:col>
      <xdr:colOff>963978</xdr:colOff>
      <xdr:row>6</xdr:row>
      <xdr:rowOff>29012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E814F3D-F917-4379-9B45-6CC613E713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405" t="12896" r="80121"/>
        <a:stretch/>
      </xdr:blipFill>
      <xdr:spPr>
        <a:xfrm>
          <a:off x="15335899" y="624915"/>
          <a:ext cx="704847" cy="726391"/>
        </a:xfrm>
        <a:prstGeom prst="rect">
          <a:avLst/>
        </a:prstGeom>
      </xdr:spPr>
    </xdr:pic>
    <xdr:clientData/>
  </xdr:twoCellAnchor>
  <xdr:twoCellAnchor editAs="oneCell">
    <xdr:from>
      <xdr:col>4</xdr:col>
      <xdr:colOff>230720</xdr:colOff>
      <xdr:row>2</xdr:row>
      <xdr:rowOff>173719</xdr:rowOff>
    </xdr:from>
    <xdr:to>
      <xdr:col>4</xdr:col>
      <xdr:colOff>930595</xdr:colOff>
      <xdr:row>6</xdr:row>
      <xdr:rowOff>66675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F6B1544-9B8A-4DCE-8706-609884460E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381" t="12836" r="80146" b="1333"/>
        <a:stretch/>
      </xdr:blipFill>
      <xdr:spPr>
        <a:xfrm>
          <a:off x="6869645" y="688069"/>
          <a:ext cx="699875" cy="6898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421056</xdr:colOff>
      <xdr:row>2</xdr:row>
      <xdr:rowOff>191994</xdr:rowOff>
    </xdr:from>
    <xdr:to>
      <xdr:col>13</xdr:col>
      <xdr:colOff>11478</xdr:colOff>
      <xdr:row>6</xdr:row>
      <xdr:rowOff>114737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8760F5C-534D-4D14-913C-79B7E49438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405" t="12896" r="80121"/>
        <a:stretch/>
      </xdr:blipFill>
      <xdr:spPr>
        <a:xfrm>
          <a:off x="15937281" y="706344"/>
          <a:ext cx="704847" cy="722843"/>
        </a:xfrm>
        <a:prstGeom prst="rect">
          <a:avLst/>
        </a:prstGeom>
      </xdr:spPr>
    </xdr:pic>
    <xdr:clientData/>
  </xdr:twoCellAnchor>
  <xdr:twoCellAnchor editAs="oneCell">
    <xdr:from>
      <xdr:col>5</xdr:col>
      <xdr:colOff>389470</xdr:colOff>
      <xdr:row>2</xdr:row>
      <xdr:rowOff>192769</xdr:rowOff>
    </xdr:from>
    <xdr:to>
      <xdr:col>5</xdr:col>
      <xdr:colOff>1092520</xdr:colOff>
      <xdr:row>6</xdr:row>
      <xdr:rowOff>82550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3B6FEAB-0DEF-4210-A773-B13BA4EF96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381" t="12836" r="80146" b="1333"/>
        <a:stretch/>
      </xdr:blipFill>
      <xdr:spPr>
        <a:xfrm>
          <a:off x="6875995" y="707119"/>
          <a:ext cx="706225" cy="693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workbookViewId="0">
      <selection activeCell="C10" sqref="C10:D10"/>
    </sheetView>
  </sheetViews>
  <sheetFormatPr baseColWidth="10" defaultColWidth="11.109375" defaultRowHeight="15"/>
  <cols>
    <col min="1" max="1" width="5.6640625" style="127" customWidth="1"/>
    <col min="2" max="2" width="21.109375" style="127" customWidth="1"/>
    <col min="3" max="3" width="23.5546875" style="127" customWidth="1"/>
    <col min="4" max="4" width="75.5546875" style="127" customWidth="1"/>
    <col min="5" max="5" width="40" style="127" customWidth="1"/>
    <col min="6" max="16384" width="11.109375" style="127"/>
  </cols>
  <sheetData>
    <row r="2" spans="2:4" ht="15.6" customHeight="1"/>
    <row r="3" spans="2:4" ht="26.1" customHeight="1">
      <c r="B3" s="224" t="s">
        <v>229</v>
      </c>
      <c r="C3" s="224"/>
    </row>
    <row r="4" spans="2:4" ht="24.6" customHeight="1">
      <c r="B4" s="223"/>
      <c r="C4" s="223"/>
    </row>
    <row r="5" spans="2:4" ht="20.100000000000001" customHeight="1">
      <c r="B5" s="231" t="s">
        <v>228</v>
      </c>
      <c r="C5" s="231"/>
    </row>
    <row r="6" spans="2:4" ht="15.6" customHeight="1">
      <c r="B6" s="223"/>
      <c r="C6" s="223"/>
    </row>
    <row r="7" spans="2:4" ht="15.6" customHeight="1" thickBot="1">
      <c r="B7" s="235" t="s">
        <v>211</v>
      </c>
      <c r="C7" s="338" t="s">
        <v>209</v>
      </c>
      <c r="D7" s="339"/>
    </row>
    <row r="8" spans="2:4" ht="31.5" customHeight="1">
      <c r="B8" s="236" t="s">
        <v>2</v>
      </c>
      <c r="C8" s="341" t="s">
        <v>214</v>
      </c>
      <c r="D8" s="342"/>
    </row>
    <row r="9" spans="2:4" ht="31.5" customHeight="1">
      <c r="B9" s="237" t="s">
        <v>212</v>
      </c>
      <c r="C9" s="343" t="s">
        <v>215</v>
      </c>
      <c r="D9" s="344"/>
    </row>
    <row r="10" spans="2:4" ht="31.5" customHeight="1">
      <c r="B10" s="237" t="s">
        <v>213</v>
      </c>
      <c r="C10" s="343" t="s">
        <v>218</v>
      </c>
      <c r="D10" s="344"/>
    </row>
    <row r="11" spans="2:4" ht="31.5" customHeight="1">
      <c r="B11" s="237" t="s">
        <v>150</v>
      </c>
      <c r="C11" s="343" t="s">
        <v>220</v>
      </c>
      <c r="D11" s="344"/>
    </row>
    <row r="12" spans="2:4" ht="31.5" customHeight="1">
      <c r="B12" s="239" t="s">
        <v>216</v>
      </c>
      <c r="C12" s="343" t="s">
        <v>219</v>
      </c>
      <c r="D12" s="344"/>
    </row>
    <row r="13" spans="2:4" ht="31.5" customHeight="1">
      <c r="B13" s="237" t="s">
        <v>51</v>
      </c>
      <c r="C13" s="343" t="s">
        <v>221</v>
      </c>
      <c r="D13" s="344"/>
    </row>
    <row r="14" spans="2:4" ht="31.5" customHeight="1">
      <c r="B14" s="237" t="s">
        <v>217</v>
      </c>
      <c r="C14" s="343" t="s">
        <v>222</v>
      </c>
      <c r="D14" s="344"/>
    </row>
    <row r="15" spans="2:4" ht="31.5" customHeight="1">
      <c r="B15" s="237" t="s">
        <v>243</v>
      </c>
      <c r="C15" s="343" t="s">
        <v>244</v>
      </c>
      <c r="D15" s="344"/>
    </row>
    <row r="16" spans="2:4" ht="15.6" customHeight="1">
      <c r="B16" s="223"/>
      <c r="C16" s="223"/>
    </row>
    <row r="17" spans="1:5" ht="20.100000000000001" customHeight="1">
      <c r="B17" s="340" t="s">
        <v>210</v>
      </c>
      <c r="C17" s="340"/>
      <c r="D17" s="340"/>
    </row>
    <row r="18" spans="1:5" ht="20.100000000000001" customHeight="1">
      <c r="B18" s="222"/>
      <c r="C18" s="222"/>
      <c r="D18" s="222"/>
    </row>
    <row r="19" spans="1:5" ht="20.100000000000001" customHeight="1" thickBot="1">
      <c r="B19" s="235" t="s">
        <v>208</v>
      </c>
      <c r="C19" s="235" t="s">
        <v>223</v>
      </c>
      <c r="D19" s="235" t="s">
        <v>209</v>
      </c>
      <c r="E19" s="232"/>
    </row>
    <row r="20" spans="1:5" ht="30.6" customHeight="1">
      <c r="B20" s="225"/>
      <c r="C20" s="226" t="s">
        <v>212</v>
      </c>
      <c r="D20" s="226" t="s">
        <v>144</v>
      </c>
      <c r="E20" s="233"/>
    </row>
    <row r="21" spans="1:5" ht="30.6" customHeight="1">
      <c r="B21" s="227"/>
      <c r="C21" s="238" t="s">
        <v>224</v>
      </c>
      <c r="D21" s="228" t="s">
        <v>226</v>
      </c>
      <c r="E21" s="233"/>
    </row>
    <row r="22" spans="1:5" ht="30.6" customHeight="1">
      <c r="A22" s="221"/>
      <c r="B22" s="229"/>
      <c r="C22" s="240" t="s">
        <v>213</v>
      </c>
      <c r="D22" s="234" t="s">
        <v>225</v>
      </c>
      <c r="E22" s="233"/>
    </row>
    <row r="23" spans="1:5" ht="30.6" customHeight="1">
      <c r="B23" s="230"/>
      <c r="C23" s="238" t="s">
        <v>227</v>
      </c>
      <c r="D23" s="228" t="s">
        <v>207</v>
      </c>
      <c r="E23" s="233"/>
    </row>
  </sheetData>
  <sheetProtection algorithmName="SHA-512" hashValue="sZRktkp60OnSziwvzsjHO+QliNln9EbF9APfuIOSKPePgqVvBlvx+nZnovGAyaH6CMh48slWafpTwY4v+aqXEQ==" saltValue="wOvfxLziTrVe0EHoJWEMVQ==" spinCount="100000" sheet="1" objects="1" scenarios="1"/>
  <mergeCells count="10">
    <mergeCell ref="C7:D7"/>
    <mergeCell ref="B17:D17"/>
    <mergeCell ref="C8:D8"/>
    <mergeCell ref="C9:D9"/>
    <mergeCell ref="C10:D10"/>
    <mergeCell ref="C11:D11"/>
    <mergeCell ref="C12:D12"/>
    <mergeCell ref="C13:D13"/>
    <mergeCell ref="C14:D14"/>
    <mergeCell ref="C15:D1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9C7D"/>
  </sheetPr>
  <dimension ref="B1:M103"/>
  <sheetViews>
    <sheetView showGridLines="0" tabSelected="1" topLeftCell="A2" zoomScale="70" zoomScaleNormal="70" workbookViewId="0">
      <selection activeCell="E17" sqref="E17"/>
    </sheetView>
  </sheetViews>
  <sheetFormatPr baseColWidth="10" defaultRowHeight="15"/>
  <cols>
    <col min="1" max="1" width="5.6640625" customWidth="1"/>
    <col min="2" max="2" width="42" customWidth="1"/>
    <col min="3" max="5" width="13.6640625" customWidth="1"/>
    <col min="8" max="8" width="22.33203125" style="209" customWidth="1"/>
    <col min="9" max="9" width="11.33203125" customWidth="1"/>
    <col min="10" max="10" width="42" customWidth="1"/>
  </cols>
  <sheetData>
    <row r="1" spans="2:13">
      <c r="H1"/>
    </row>
    <row r="2" spans="2:13">
      <c r="H2"/>
    </row>
    <row r="3" spans="2:13" ht="26.25">
      <c r="B3" s="2" t="s">
        <v>4</v>
      </c>
      <c r="H3"/>
    </row>
    <row r="4" spans="2:13" ht="26.25">
      <c r="B4" s="2"/>
      <c r="H4"/>
    </row>
    <row r="5" spans="2:13" ht="18">
      <c r="B5" s="348" t="s">
        <v>5</v>
      </c>
      <c r="C5" s="348"/>
      <c r="D5" s="348"/>
      <c r="E5" s="348"/>
      <c r="J5" s="348" t="s">
        <v>6</v>
      </c>
      <c r="K5" s="348"/>
      <c r="L5" s="348"/>
      <c r="M5" s="348"/>
    </row>
    <row r="6" spans="2:13" ht="18">
      <c r="B6" s="115"/>
      <c r="C6" s="115"/>
      <c r="D6" s="115"/>
      <c r="E6" s="115"/>
      <c r="J6" s="115"/>
      <c r="K6" s="115"/>
      <c r="L6" s="115"/>
      <c r="M6" s="115"/>
    </row>
    <row r="7" spans="2:13" ht="16.5" thickBot="1">
      <c r="B7" s="29" t="s">
        <v>2</v>
      </c>
      <c r="C7" s="349" t="s">
        <v>3</v>
      </c>
      <c r="D7" s="350"/>
      <c r="E7" s="351"/>
      <c r="J7" s="29" t="s">
        <v>2</v>
      </c>
      <c r="K7" s="349" t="s">
        <v>3</v>
      </c>
      <c r="L7" s="350"/>
      <c r="M7" s="351"/>
    </row>
    <row r="8" spans="2:13">
      <c r="B8" s="30" t="s">
        <v>106</v>
      </c>
      <c r="C8" s="358">
        <f>Einnahmen!D24/Annahmen!F7</f>
        <v>117.57545600000003</v>
      </c>
      <c r="D8" s="358"/>
      <c r="E8" s="359"/>
      <c r="J8" s="30" t="s">
        <v>106</v>
      </c>
      <c r="K8" s="352">
        <f>Einnahmen!I24/Annahmen!F7</f>
        <v>193.10311799999999</v>
      </c>
      <c r="L8" s="353"/>
      <c r="M8" s="354"/>
    </row>
    <row r="9" spans="2:13" ht="15.75" thickBot="1">
      <c r="B9" s="30" t="s">
        <v>107</v>
      </c>
      <c r="C9" s="360">
        <f>Gesamtkosten!D9/Annahmen!F7</f>
        <v>164.29052984320001</v>
      </c>
      <c r="D9" s="361"/>
      <c r="E9" s="362"/>
      <c r="J9" s="30" t="s">
        <v>107</v>
      </c>
      <c r="K9" s="355">
        <f>Gesamtkosten!K9/Annahmen!F7</f>
        <v>183.02319790660002</v>
      </c>
      <c r="L9" s="356"/>
      <c r="M9" s="357"/>
    </row>
    <row r="10" spans="2:13" ht="15.75">
      <c r="B10" s="23" t="s">
        <v>108</v>
      </c>
      <c r="C10" s="345">
        <f>$C$8-C9</f>
        <v>-46.715073843199974</v>
      </c>
      <c r="D10" s="346"/>
      <c r="E10" s="347"/>
      <c r="J10" s="23" t="s">
        <v>62</v>
      </c>
      <c r="K10" s="345">
        <f>K8-K9</f>
        <v>10.079920093399977</v>
      </c>
      <c r="L10" s="346"/>
      <c r="M10" s="347"/>
    </row>
    <row r="19" spans="8:8" s="208" customFormat="1">
      <c r="H19" s="209"/>
    </row>
    <row r="98" spans="9:9">
      <c r="I98">
        <v>5500</v>
      </c>
    </row>
    <row r="103" spans="9:9">
      <c r="I103">
        <v>10000</v>
      </c>
    </row>
  </sheetData>
  <mergeCells count="10">
    <mergeCell ref="K10:M10"/>
    <mergeCell ref="B5:E5"/>
    <mergeCell ref="J5:M5"/>
    <mergeCell ref="K7:M7"/>
    <mergeCell ref="K8:M8"/>
    <mergeCell ref="K9:M9"/>
    <mergeCell ref="C7:E7"/>
    <mergeCell ref="C8:E8"/>
    <mergeCell ref="C9:E9"/>
    <mergeCell ref="C10:E10"/>
  </mergeCells>
  <conditionalFormatting sqref="C10:E10">
    <cfRule type="cellIs" dxfId="13" priority="4" operator="lessThan">
      <formula>0</formula>
    </cfRule>
    <cfRule type="cellIs" dxfId="12" priority="5" operator="greaterThan">
      <formula>0</formula>
    </cfRule>
    <cfRule type="cellIs" dxfId="11" priority="6" operator="equal">
      <formula>0</formula>
    </cfRule>
  </conditionalFormatting>
  <conditionalFormatting sqref="K10:M10">
    <cfRule type="cellIs" dxfId="10" priority="1" operator="lessThan">
      <formula>0</formula>
    </cfRule>
    <cfRule type="cellIs" dxfId="9" priority="2" operator="greaterThan">
      <formula>0</formula>
    </cfRule>
    <cfRule type="cellIs" dxfId="8" priority="3" operator="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Q106"/>
  <sheetViews>
    <sheetView showGridLines="0" topLeftCell="A59" zoomScale="70" zoomScaleNormal="70" workbookViewId="0">
      <selection activeCell="P87" sqref="P87"/>
    </sheetView>
  </sheetViews>
  <sheetFormatPr baseColWidth="10" defaultRowHeight="15"/>
  <cols>
    <col min="1" max="1" width="5.6640625" customWidth="1"/>
    <col min="2" max="7" width="13.6640625" customWidth="1"/>
    <col min="8" max="15" width="8.44140625" customWidth="1"/>
    <col min="16" max="39" width="8.5546875" customWidth="1"/>
    <col min="40" max="43" width="13.21875" customWidth="1"/>
  </cols>
  <sheetData>
    <row r="1" spans="1:12">
      <c r="A1" s="443"/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34"/>
    </row>
    <row r="2" spans="1:12" ht="26.25">
      <c r="B2" s="2" t="s">
        <v>238</v>
      </c>
    </row>
    <row r="3" spans="1:12" ht="18" customHeight="1"/>
    <row r="4" spans="1:12">
      <c r="A4" s="11"/>
      <c r="B4" s="12"/>
      <c r="C4" s="7"/>
      <c r="D4" s="13"/>
      <c r="E4" s="7"/>
      <c r="F4" s="11"/>
      <c r="G4" s="11"/>
      <c r="H4" s="11"/>
      <c r="I4" s="11"/>
      <c r="J4" s="11"/>
      <c r="K4" s="11"/>
      <c r="L4" s="11"/>
    </row>
    <row r="5" spans="1:12">
      <c r="A5" s="11"/>
      <c r="B5" s="12"/>
      <c r="C5" s="7"/>
      <c r="D5" s="14"/>
      <c r="E5" s="7"/>
      <c r="F5" s="11"/>
      <c r="G5" s="11"/>
      <c r="H5" s="11"/>
      <c r="I5" s="11"/>
      <c r="J5" s="11"/>
      <c r="K5" s="11"/>
      <c r="L5" s="11"/>
    </row>
    <row r="6" spans="1:12" ht="16.5" thickBot="1">
      <c r="B6" s="444" t="s">
        <v>71</v>
      </c>
      <c r="C6" s="445"/>
      <c r="D6" s="445"/>
      <c r="E6" s="445"/>
      <c r="F6" s="445"/>
      <c r="G6" s="445"/>
      <c r="H6" s="445"/>
      <c r="I6" s="445"/>
      <c r="J6" s="445"/>
      <c r="K6" s="446"/>
      <c r="L6" s="37"/>
    </row>
    <row r="7" spans="1:12">
      <c r="A7" s="431"/>
      <c r="B7" s="387" t="s">
        <v>110</v>
      </c>
      <c r="C7" s="388"/>
      <c r="D7" s="388"/>
      <c r="E7" s="389"/>
      <c r="F7" s="454">
        <v>50000</v>
      </c>
      <c r="G7" s="455"/>
      <c r="H7" s="455"/>
      <c r="I7" s="455"/>
      <c r="J7" s="455"/>
      <c r="K7" s="456"/>
      <c r="L7" s="67"/>
    </row>
    <row r="8" spans="1:12">
      <c r="A8" s="431"/>
      <c r="B8" s="390" t="s">
        <v>82</v>
      </c>
      <c r="C8" s="391"/>
      <c r="D8" s="391"/>
      <c r="E8" s="392"/>
      <c r="F8" s="433">
        <v>0.18</v>
      </c>
      <c r="G8" s="434"/>
      <c r="H8" s="434"/>
      <c r="I8" s="434"/>
      <c r="J8" s="434"/>
      <c r="K8" s="435"/>
      <c r="L8" s="79"/>
    </row>
    <row r="9" spans="1:12">
      <c r="A9" s="431"/>
      <c r="B9" s="363" t="s">
        <v>0</v>
      </c>
      <c r="C9" s="364"/>
      <c r="D9" s="364"/>
      <c r="E9" s="365"/>
      <c r="F9" s="375">
        <v>25</v>
      </c>
      <c r="G9" s="376"/>
      <c r="H9" s="376"/>
      <c r="I9" s="376"/>
      <c r="J9" s="376"/>
      <c r="K9" s="377"/>
      <c r="L9" s="80"/>
    </row>
    <row r="10" spans="1:12">
      <c r="A10" s="431"/>
      <c r="B10" s="122" t="s">
        <v>143</v>
      </c>
      <c r="C10" s="123"/>
      <c r="D10" s="123"/>
      <c r="E10" s="124"/>
      <c r="F10" s="375">
        <v>0.5</v>
      </c>
      <c r="G10" s="376"/>
      <c r="H10" s="376"/>
      <c r="I10" s="376"/>
      <c r="J10" s="376"/>
      <c r="K10" s="377"/>
      <c r="L10" s="126"/>
    </row>
    <row r="11" spans="1:12">
      <c r="A11" s="431"/>
      <c r="B11" s="437" t="s">
        <v>1</v>
      </c>
      <c r="C11" s="438"/>
      <c r="D11" s="438"/>
      <c r="E11" s="439"/>
      <c r="F11" s="440">
        <v>3</v>
      </c>
      <c r="G11" s="441"/>
      <c r="H11" s="441"/>
      <c r="I11" s="441"/>
      <c r="J11" s="441"/>
      <c r="K11" s="442"/>
      <c r="L11" s="79"/>
    </row>
    <row r="12" spans="1:12">
      <c r="A12" s="431"/>
      <c r="B12" s="437" t="s">
        <v>149</v>
      </c>
      <c r="C12" s="438"/>
      <c r="D12" s="438"/>
      <c r="E12" s="439"/>
      <c r="F12" s="440">
        <v>40</v>
      </c>
      <c r="G12" s="441"/>
      <c r="H12" s="441"/>
      <c r="I12" s="441"/>
      <c r="J12" s="441"/>
      <c r="K12" s="442"/>
      <c r="L12" s="79"/>
    </row>
    <row r="13" spans="1:12">
      <c r="A13" s="431"/>
      <c r="B13" s="436"/>
      <c r="C13" s="436"/>
      <c r="D13" s="436"/>
      <c r="E13" s="436"/>
      <c r="F13" s="432"/>
      <c r="G13" s="432"/>
      <c r="H13" s="432"/>
      <c r="I13" s="432"/>
      <c r="J13" s="432"/>
      <c r="K13" s="432"/>
      <c r="L13" s="79"/>
    </row>
    <row r="14" spans="1:12">
      <c r="B14" s="447"/>
      <c r="C14" s="447"/>
      <c r="D14" s="447"/>
      <c r="E14" s="447"/>
      <c r="F14" s="448"/>
      <c r="G14" s="448"/>
      <c r="H14" s="448"/>
      <c r="I14" s="448"/>
      <c r="J14" s="448"/>
      <c r="K14" s="448"/>
      <c r="L14" s="80"/>
    </row>
    <row r="15" spans="1:12" ht="16.5" thickBot="1">
      <c r="B15" s="444" t="s">
        <v>142</v>
      </c>
      <c r="C15" s="445"/>
      <c r="D15" s="445"/>
      <c r="E15" s="445"/>
      <c r="F15" s="445"/>
      <c r="G15" s="445"/>
      <c r="H15" s="445"/>
      <c r="I15" s="445"/>
      <c r="J15" s="445"/>
      <c r="K15" s="446"/>
      <c r="L15" s="75"/>
    </row>
    <row r="16" spans="1:12">
      <c r="B16" s="363" t="s">
        <v>79</v>
      </c>
      <c r="C16" s="364"/>
      <c r="D16" s="364"/>
      <c r="E16" s="365"/>
      <c r="F16" s="452">
        <v>10</v>
      </c>
      <c r="G16" s="452"/>
      <c r="H16" s="452"/>
      <c r="I16" s="452"/>
      <c r="J16" s="452"/>
      <c r="K16" s="453"/>
      <c r="L16" s="75"/>
    </row>
    <row r="17" spans="2:12">
      <c r="B17" s="363" t="s">
        <v>151</v>
      </c>
      <c r="C17" s="364"/>
      <c r="D17" s="364"/>
      <c r="E17" s="364"/>
      <c r="F17" s="364"/>
      <c r="G17" s="364"/>
      <c r="H17" s="364"/>
      <c r="I17" s="364"/>
      <c r="J17" s="364"/>
      <c r="K17" s="365"/>
      <c r="L17" s="75"/>
    </row>
    <row r="18" spans="2:12">
      <c r="B18" s="410" t="s">
        <v>136</v>
      </c>
      <c r="C18" s="411" t="s">
        <v>16</v>
      </c>
      <c r="D18" s="411" t="s">
        <v>16</v>
      </c>
      <c r="E18" s="412" t="s">
        <v>16</v>
      </c>
      <c r="F18" s="372">
        <v>20</v>
      </c>
      <c r="G18" s="373">
        <v>25</v>
      </c>
      <c r="H18" s="373"/>
      <c r="I18" s="373">
        <v>25</v>
      </c>
      <c r="J18" s="373"/>
      <c r="K18" s="374">
        <v>25</v>
      </c>
      <c r="L18" s="75"/>
    </row>
    <row r="19" spans="2:12">
      <c r="B19" s="184" t="s">
        <v>176</v>
      </c>
      <c r="C19" s="185"/>
      <c r="D19" s="185"/>
      <c r="E19" s="186"/>
      <c r="F19" s="372">
        <v>10</v>
      </c>
      <c r="G19" s="373"/>
      <c r="H19" s="373"/>
      <c r="I19" s="373"/>
      <c r="J19" s="373"/>
      <c r="K19" s="374"/>
      <c r="L19" s="75"/>
    </row>
    <row r="20" spans="2:12">
      <c r="B20" s="410" t="s">
        <v>137</v>
      </c>
      <c r="C20" s="411" t="s">
        <v>46</v>
      </c>
      <c r="D20" s="411" t="s">
        <v>46</v>
      </c>
      <c r="E20" s="412" t="s">
        <v>46</v>
      </c>
      <c r="F20" s="372">
        <v>10</v>
      </c>
      <c r="G20" s="373">
        <v>20</v>
      </c>
      <c r="H20" s="373"/>
      <c r="I20" s="373">
        <v>20</v>
      </c>
      <c r="J20" s="373"/>
      <c r="K20" s="374">
        <v>20</v>
      </c>
      <c r="L20" s="75"/>
    </row>
    <row r="21" spans="2:12">
      <c r="B21" s="410" t="s">
        <v>138</v>
      </c>
      <c r="C21" s="411" t="s">
        <v>80</v>
      </c>
      <c r="D21" s="411" t="s">
        <v>80</v>
      </c>
      <c r="E21" s="412" t="s">
        <v>80</v>
      </c>
      <c r="F21" s="372">
        <v>1</v>
      </c>
      <c r="G21" s="373">
        <v>5</v>
      </c>
      <c r="H21" s="373"/>
      <c r="I21" s="373">
        <v>5</v>
      </c>
      <c r="J21" s="373"/>
      <c r="K21" s="374">
        <v>5</v>
      </c>
      <c r="L21" s="75"/>
    </row>
    <row r="22" spans="2:12">
      <c r="B22" s="410" t="s">
        <v>139</v>
      </c>
      <c r="C22" s="411" t="s">
        <v>47</v>
      </c>
      <c r="D22" s="411" t="s">
        <v>47</v>
      </c>
      <c r="E22" s="412" t="s">
        <v>47</v>
      </c>
      <c r="F22" s="449">
        <v>0.5</v>
      </c>
      <c r="G22" s="450"/>
      <c r="H22" s="450"/>
      <c r="I22" s="450">
        <v>1</v>
      </c>
      <c r="J22" s="450"/>
      <c r="K22" s="451">
        <v>1</v>
      </c>
      <c r="L22" s="75"/>
    </row>
    <row r="23" spans="2:12" s="36" customFormat="1">
      <c r="B23" s="410" t="s">
        <v>140</v>
      </c>
      <c r="C23" s="411" t="s">
        <v>56</v>
      </c>
      <c r="D23" s="411" t="s">
        <v>56</v>
      </c>
      <c r="E23" s="412" t="s">
        <v>56</v>
      </c>
      <c r="F23" s="372">
        <v>20</v>
      </c>
      <c r="G23" s="373">
        <v>25</v>
      </c>
      <c r="H23" s="373"/>
      <c r="I23" s="373">
        <v>25</v>
      </c>
      <c r="J23" s="373"/>
      <c r="K23" s="374">
        <v>25</v>
      </c>
      <c r="L23" s="75"/>
    </row>
    <row r="24" spans="2:12" s="36" customFormat="1">
      <c r="B24" s="363" t="s">
        <v>150</v>
      </c>
      <c r="C24" s="364"/>
      <c r="D24" s="364"/>
      <c r="E24" s="364"/>
      <c r="F24" s="364"/>
      <c r="G24" s="364"/>
      <c r="H24" s="364"/>
      <c r="I24" s="364"/>
      <c r="J24" s="364"/>
      <c r="K24" s="365"/>
      <c r="L24" s="75"/>
    </row>
    <row r="25" spans="2:12" s="36" customFormat="1">
      <c r="B25" s="410" t="s">
        <v>17</v>
      </c>
      <c r="C25" s="411">
        <v>100000</v>
      </c>
      <c r="D25" s="411" t="s">
        <v>17</v>
      </c>
      <c r="E25" s="412">
        <v>100000</v>
      </c>
      <c r="F25" s="372">
        <v>100000</v>
      </c>
      <c r="G25" s="373"/>
      <c r="H25" s="373"/>
      <c r="I25" s="373"/>
      <c r="J25" s="373"/>
      <c r="K25" s="374"/>
      <c r="L25" s="75"/>
    </row>
    <row r="26" spans="2:12" s="36" customFormat="1">
      <c r="B26" s="184" t="s">
        <v>177</v>
      </c>
      <c r="C26" s="185"/>
      <c r="D26" s="185"/>
      <c r="E26" s="186"/>
      <c r="F26" s="372">
        <v>200000</v>
      </c>
      <c r="G26" s="373"/>
      <c r="H26" s="373"/>
      <c r="I26" s="373"/>
      <c r="J26" s="373"/>
      <c r="K26" s="374"/>
      <c r="L26" s="75"/>
    </row>
    <row r="27" spans="2:12" s="36" customFormat="1">
      <c r="B27" s="410" t="s">
        <v>18</v>
      </c>
      <c r="C27" s="411">
        <v>100000</v>
      </c>
      <c r="D27" s="411" t="s">
        <v>18</v>
      </c>
      <c r="E27" s="412">
        <v>100000</v>
      </c>
      <c r="F27" s="372">
        <v>100000</v>
      </c>
      <c r="G27" s="373"/>
      <c r="H27" s="373"/>
      <c r="I27" s="373"/>
      <c r="J27" s="373"/>
      <c r="K27" s="374"/>
      <c r="L27" s="75"/>
    </row>
    <row r="28" spans="2:12" s="36" customFormat="1">
      <c r="B28" s="410" t="s">
        <v>19</v>
      </c>
      <c r="C28" s="411">
        <v>100000</v>
      </c>
      <c r="D28" s="411" t="s">
        <v>19</v>
      </c>
      <c r="E28" s="412">
        <v>100000</v>
      </c>
      <c r="F28" s="372">
        <v>100000</v>
      </c>
      <c r="G28" s="373"/>
      <c r="H28" s="373"/>
      <c r="I28" s="373"/>
      <c r="J28" s="373"/>
      <c r="K28" s="374"/>
      <c r="L28" s="75"/>
    </row>
    <row r="29" spans="2:12" s="36" customFormat="1">
      <c r="B29" s="410" t="s">
        <v>20</v>
      </c>
      <c r="C29" s="411">
        <v>100000</v>
      </c>
      <c r="D29" s="411" t="s">
        <v>20</v>
      </c>
      <c r="E29" s="412">
        <v>100000</v>
      </c>
      <c r="F29" s="372">
        <v>100000</v>
      </c>
      <c r="G29" s="373"/>
      <c r="H29" s="373"/>
      <c r="I29" s="373"/>
      <c r="J29" s="373"/>
      <c r="K29" s="374"/>
      <c r="L29" s="75"/>
    </row>
    <row r="30" spans="2:12" s="36" customFormat="1">
      <c r="B30" s="410" t="s">
        <v>23</v>
      </c>
      <c r="C30" s="411"/>
      <c r="D30" s="411"/>
      <c r="E30" s="412"/>
      <c r="F30" s="372">
        <v>50000</v>
      </c>
      <c r="G30" s="373"/>
      <c r="H30" s="373"/>
      <c r="I30" s="373"/>
      <c r="J30" s="373"/>
      <c r="K30" s="374"/>
      <c r="L30" s="75"/>
    </row>
    <row r="31" spans="2:12" s="36" customFormat="1">
      <c r="B31" s="363" t="s">
        <v>179</v>
      </c>
      <c r="C31" s="364"/>
      <c r="D31" s="364"/>
      <c r="E31" s="364"/>
      <c r="F31" s="364"/>
      <c r="G31" s="364"/>
      <c r="H31" s="364"/>
      <c r="I31" s="364"/>
      <c r="J31" s="364"/>
      <c r="K31" s="365"/>
      <c r="L31" s="75"/>
    </row>
    <row r="32" spans="2:12" s="36" customFormat="1">
      <c r="B32" s="410" t="s">
        <v>152</v>
      </c>
      <c r="C32" s="411">
        <v>100000</v>
      </c>
      <c r="D32" s="411" t="s">
        <v>17</v>
      </c>
      <c r="E32" s="412">
        <v>100000</v>
      </c>
      <c r="F32" s="459">
        <v>0.9</v>
      </c>
      <c r="G32" s="460"/>
      <c r="H32" s="460"/>
      <c r="I32" s="460"/>
      <c r="J32" s="460"/>
      <c r="K32" s="461"/>
      <c r="L32" s="75"/>
    </row>
    <row r="33" spans="2:12" s="36" customFormat="1">
      <c r="B33" s="184" t="s">
        <v>178</v>
      </c>
      <c r="C33" s="185"/>
      <c r="D33" s="185"/>
      <c r="E33" s="186"/>
      <c r="F33" s="407">
        <v>0.9</v>
      </c>
      <c r="G33" s="408"/>
      <c r="H33" s="408"/>
      <c r="I33" s="408"/>
      <c r="J33" s="408"/>
      <c r="K33" s="409"/>
      <c r="L33" s="75"/>
    </row>
    <row r="34" spans="2:12" s="36" customFormat="1">
      <c r="B34" s="410" t="s">
        <v>153</v>
      </c>
      <c r="C34" s="411">
        <v>100000</v>
      </c>
      <c r="D34" s="411" t="s">
        <v>18</v>
      </c>
      <c r="E34" s="412">
        <v>100000</v>
      </c>
      <c r="F34" s="459">
        <v>0.9</v>
      </c>
      <c r="G34" s="460"/>
      <c r="H34" s="460"/>
      <c r="I34" s="460"/>
      <c r="J34" s="460"/>
      <c r="K34" s="461"/>
      <c r="L34" s="75"/>
    </row>
    <row r="35" spans="2:12" s="36" customFormat="1">
      <c r="B35" s="410" t="s">
        <v>154</v>
      </c>
      <c r="C35" s="411">
        <v>100000</v>
      </c>
      <c r="D35" s="411" t="s">
        <v>19</v>
      </c>
      <c r="E35" s="412">
        <v>100000</v>
      </c>
      <c r="F35" s="459">
        <v>0.9</v>
      </c>
      <c r="G35" s="460"/>
      <c r="H35" s="460"/>
      <c r="I35" s="460"/>
      <c r="J35" s="460"/>
      <c r="K35" s="461"/>
      <c r="L35" s="75"/>
    </row>
    <row r="36" spans="2:12" s="36" customFormat="1">
      <c r="B36" s="410" t="s">
        <v>155</v>
      </c>
      <c r="C36" s="411">
        <v>100000</v>
      </c>
      <c r="D36" s="411" t="s">
        <v>20</v>
      </c>
      <c r="E36" s="412">
        <v>100000</v>
      </c>
      <c r="F36" s="459">
        <v>0.9</v>
      </c>
      <c r="G36" s="460"/>
      <c r="H36" s="460"/>
      <c r="I36" s="460"/>
      <c r="J36" s="460"/>
      <c r="K36" s="461"/>
      <c r="L36" s="75"/>
    </row>
    <row r="37" spans="2:12" s="36" customFormat="1">
      <c r="B37" s="410" t="s">
        <v>156</v>
      </c>
      <c r="C37" s="411"/>
      <c r="D37" s="411"/>
      <c r="E37" s="412"/>
      <c r="F37" s="459">
        <v>0.9</v>
      </c>
      <c r="G37" s="460"/>
      <c r="H37" s="460"/>
      <c r="I37" s="460"/>
      <c r="J37" s="460"/>
      <c r="K37" s="461"/>
      <c r="L37" s="75"/>
    </row>
    <row r="38" spans="2:12" s="36" customFormat="1">
      <c r="B38" s="363" t="s">
        <v>157</v>
      </c>
      <c r="C38" s="364"/>
      <c r="D38" s="364"/>
      <c r="E38" s="364"/>
      <c r="F38" s="364"/>
      <c r="G38" s="364"/>
      <c r="H38" s="364"/>
      <c r="I38" s="364"/>
      <c r="J38" s="364"/>
      <c r="K38" s="365"/>
      <c r="L38" s="75"/>
    </row>
    <row r="39" spans="2:12" s="36" customFormat="1">
      <c r="B39" s="410" t="s">
        <v>158</v>
      </c>
      <c r="C39" s="411">
        <v>100000</v>
      </c>
      <c r="D39" s="411" t="s">
        <v>17</v>
      </c>
      <c r="E39" s="412">
        <v>100000</v>
      </c>
      <c r="F39" s="428">
        <v>10000</v>
      </c>
      <c r="G39" s="429"/>
      <c r="H39" s="429"/>
      <c r="I39" s="429"/>
      <c r="J39" s="429"/>
      <c r="K39" s="430"/>
      <c r="L39" s="75"/>
    </row>
    <row r="40" spans="2:12" s="36" customFormat="1">
      <c r="B40" s="184" t="s">
        <v>180</v>
      </c>
      <c r="C40" s="185"/>
      <c r="D40" s="185"/>
      <c r="E40" s="186"/>
      <c r="F40" s="372">
        <v>15000</v>
      </c>
      <c r="G40" s="373"/>
      <c r="H40" s="373"/>
      <c r="I40" s="373"/>
      <c r="J40" s="373"/>
      <c r="K40" s="374"/>
      <c r="L40" s="75"/>
    </row>
    <row r="41" spans="2:12" s="36" customFormat="1">
      <c r="B41" s="410" t="s">
        <v>159</v>
      </c>
      <c r="C41" s="411">
        <v>100000</v>
      </c>
      <c r="D41" s="411" t="s">
        <v>18</v>
      </c>
      <c r="E41" s="412">
        <v>100000</v>
      </c>
      <c r="F41" s="428">
        <v>10000</v>
      </c>
      <c r="G41" s="429"/>
      <c r="H41" s="429"/>
      <c r="I41" s="429"/>
      <c r="J41" s="429"/>
      <c r="K41" s="430"/>
      <c r="L41" s="75"/>
    </row>
    <row r="42" spans="2:12" s="36" customFormat="1">
      <c r="B42" s="410" t="s">
        <v>160</v>
      </c>
      <c r="C42" s="411">
        <v>100000</v>
      </c>
      <c r="D42" s="411" t="s">
        <v>19</v>
      </c>
      <c r="E42" s="412">
        <v>100000</v>
      </c>
      <c r="F42" s="428">
        <v>10000</v>
      </c>
      <c r="G42" s="429"/>
      <c r="H42" s="429"/>
      <c r="I42" s="429"/>
      <c r="J42" s="429"/>
      <c r="K42" s="430"/>
      <c r="L42" s="75"/>
    </row>
    <row r="43" spans="2:12" s="36" customFormat="1">
      <c r="B43" s="410" t="s">
        <v>161</v>
      </c>
      <c r="C43" s="411">
        <v>100000</v>
      </c>
      <c r="D43" s="411" t="s">
        <v>20</v>
      </c>
      <c r="E43" s="412">
        <v>100000</v>
      </c>
      <c r="F43" s="428">
        <v>10000</v>
      </c>
      <c r="G43" s="429"/>
      <c r="H43" s="429"/>
      <c r="I43" s="429"/>
      <c r="J43" s="429"/>
      <c r="K43" s="430"/>
      <c r="L43" s="75"/>
    </row>
    <row r="44" spans="2:12" s="36" customFormat="1">
      <c r="B44" s="410" t="s">
        <v>162</v>
      </c>
      <c r="C44" s="411"/>
      <c r="D44" s="411"/>
      <c r="E44" s="412"/>
      <c r="F44" s="428">
        <v>5000</v>
      </c>
      <c r="G44" s="429"/>
      <c r="H44" s="429"/>
      <c r="I44" s="429"/>
      <c r="J44" s="429"/>
      <c r="K44" s="430"/>
      <c r="L44" s="75"/>
    </row>
    <row r="45" spans="2:12" s="36" customFormat="1">
      <c r="B45" s="363" t="s">
        <v>163</v>
      </c>
      <c r="C45" s="364"/>
      <c r="D45" s="364"/>
      <c r="E45" s="364"/>
      <c r="F45" s="364"/>
      <c r="G45" s="364"/>
      <c r="H45" s="364"/>
      <c r="I45" s="364"/>
      <c r="J45" s="364"/>
      <c r="K45" s="365"/>
      <c r="L45" s="75"/>
    </row>
    <row r="46" spans="2:12" s="36" customFormat="1">
      <c r="B46" s="410" t="s">
        <v>165</v>
      </c>
      <c r="C46" s="411">
        <v>100000</v>
      </c>
      <c r="D46" s="411" t="s">
        <v>17</v>
      </c>
      <c r="E46" s="412">
        <v>100000</v>
      </c>
      <c r="F46" s="428">
        <v>20</v>
      </c>
      <c r="G46" s="429"/>
      <c r="H46" s="429"/>
      <c r="I46" s="429"/>
      <c r="J46" s="429"/>
      <c r="K46" s="430"/>
      <c r="L46" s="75"/>
    </row>
    <row r="47" spans="2:12" s="36" customFormat="1">
      <c r="B47" s="184" t="s">
        <v>181</v>
      </c>
      <c r="C47" s="185"/>
      <c r="D47" s="185"/>
      <c r="E47" s="186"/>
      <c r="F47" s="372">
        <v>20</v>
      </c>
      <c r="G47" s="373"/>
      <c r="H47" s="373"/>
      <c r="I47" s="373"/>
      <c r="J47" s="373"/>
      <c r="K47" s="374"/>
      <c r="L47" s="75"/>
    </row>
    <row r="48" spans="2:12" s="36" customFormat="1">
      <c r="B48" s="410" t="s">
        <v>164</v>
      </c>
      <c r="C48" s="411">
        <v>100000</v>
      </c>
      <c r="D48" s="411" t="s">
        <v>18</v>
      </c>
      <c r="E48" s="412">
        <v>100000</v>
      </c>
      <c r="F48" s="428">
        <v>20</v>
      </c>
      <c r="G48" s="429"/>
      <c r="H48" s="429"/>
      <c r="I48" s="429"/>
      <c r="J48" s="429"/>
      <c r="K48" s="430"/>
      <c r="L48" s="75"/>
    </row>
    <row r="49" spans="2:43" s="36" customFormat="1">
      <c r="B49" s="410" t="s">
        <v>166</v>
      </c>
      <c r="C49" s="411">
        <v>100000</v>
      </c>
      <c r="D49" s="411" t="s">
        <v>19</v>
      </c>
      <c r="E49" s="412">
        <v>100000</v>
      </c>
      <c r="F49" s="428">
        <v>20</v>
      </c>
      <c r="G49" s="429"/>
      <c r="H49" s="429"/>
      <c r="I49" s="429"/>
      <c r="J49" s="429"/>
      <c r="K49" s="430"/>
      <c r="L49" s="75"/>
    </row>
    <row r="50" spans="2:43" s="36" customFormat="1">
      <c r="B50" s="410" t="s">
        <v>167</v>
      </c>
      <c r="C50" s="411">
        <v>100000</v>
      </c>
      <c r="D50" s="411" t="s">
        <v>20</v>
      </c>
      <c r="E50" s="412">
        <v>100000</v>
      </c>
      <c r="F50" s="428">
        <v>20</v>
      </c>
      <c r="G50" s="429"/>
      <c r="H50" s="429"/>
      <c r="I50" s="429"/>
      <c r="J50" s="429"/>
      <c r="K50" s="430"/>
      <c r="L50" s="75"/>
    </row>
    <row r="51" spans="2:43" s="36" customFormat="1">
      <c r="B51" s="410" t="s">
        <v>168</v>
      </c>
      <c r="C51" s="411"/>
      <c r="D51" s="411"/>
      <c r="E51" s="412"/>
      <c r="F51" s="428">
        <v>10</v>
      </c>
      <c r="G51" s="429"/>
      <c r="H51" s="429"/>
      <c r="I51" s="429"/>
      <c r="J51" s="429"/>
      <c r="K51" s="430"/>
      <c r="L51" s="75"/>
    </row>
    <row r="52" spans="2:43" s="36" customFormat="1">
      <c r="B52" s="44"/>
      <c r="C52" s="44"/>
      <c r="D52" s="44"/>
      <c r="E52" s="44"/>
      <c r="F52" s="43"/>
      <c r="G52" s="43"/>
      <c r="H52" s="43"/>
      <c r="I52" s="43"/>
      <c r="J52" s="43"/>
      <c r="K52" s="43"/>
      <c r="L52" s="75"/>
    </row>
    <row r="54" spans="2:43" ht="16.5" thickBot="1">
      <c r="B54" s="419" t="s">
        <v>74</v>
      </c>
      <c r="C54" s="420"/>
      <c r="D54" s="420"/>
      <c r="E54" s="420"/>
      <c r="F54" s="420"/>
      <c r="G54" s="420"/>
      <c r="H54" s="420"/>
      <c r="I54" s="420"/>
      <c r="J54" s="420"/>
      <c r="K54" s="421"/>
      <c r="L54" s="112"/>
    </row>
    <row r="55" spans="2:43">
      <c r="B55" s="387" t="s">
        <v>75</v>
      </c>
      <c r="C55" s="388" t="s">
        <v>68</v>
      </c>
      <c r="D55" s="388" t="s">
        <v>68</v>
      </c>
      <c r="E55" s="389" t="s">
        <v>68</v>
      </c>
      <c r="F55" s="422">
        <v>2</v>
      </c>
      <c r="G55" s="423"/>
      <c r="H55" s="423"/>
      <c r="I55" s="423"/>
      <c r="J55" s="423"/>
      <c r="K55" s="424"/>
      <c r="L55" s="81"/>
    </row>
    <row r="56" spans="2:43">
      <c r="B56" s="363" t="s">
        <v>76</v>
      </c>
      <c r="C56" s="364" t="s">
        <v>69</v>
      </c>
      <c r="D56" s="364" t="s">
        <v>69</v>
      </c>
      <c r="E56" s="365" t="s">
        <v>69</v>
      </c>
      <c r="F56" s="425">
        <v>8</v>
      </c>
      <c r="G56" s="426"/>
      <c r="H56" s="426"/>
      <c r="I56" s="426"/>
      <c r="J56" s="426"/>
      <c r="K56" s="427"/>
      <c r="L56" s="82"/>
    </row>
    <row r="57" spans="2:43">
      <c r="B57" s="363" t="s">
        <v>77</v>
      </c>
      <c r="C57" s="364" t="s">
        <v>70</v>
      </c>
      <c r="D57" s="364" t="s">
        <v>70</v>
      </c>
      <c r="E57" s="365" t="s">
        <v>70</v>
      </c>
      <c r="F57" s="413">
        <v>5</v>
      </c>
      <c r="G57" s="414"/>
      <c r="H57" s="414"/>
      <c r="I57" s="414"/>
      <c r="J57" s="414"/>
      <c r="K57" s="415"/>
      <c r="L57" s="67"/>
    </row>
    <row r="58" spans="2:43">
      <c r="B58" s="363" t="s">
        <v>78</v>
      </c>
      <c r="C58" s="364" t="s">
        <v>66</v>
      </c>
      <c r="D58" s="364" t="s">
        <v>66</v>
      </c>
      <c r="E58" s="365" t="s">
        <v>66</v>
      </c>
      <c r="F58" s="416">
        <v>52</v>
      </c>
      <c r="G58" s="417"/>
      <c r="H58" s="417"/>
      <c r="I58" s="417"/>
      <c r="J58" s="417"/>
      <c r="K58" s="418"/>
      <c r="L58" s="81"/>
      <c r="AN58" s="36"/>
      <c r="AO58" s="36"/>
      <c r="AP58" s="36"/>
      <c r="AQ58" s="36"/>
    </row>
    <row r="59" spans="2:43">
      <c r="B59" s="363" t="s">
        <v>147</v>
      </c>
      <c r="C59" s="364"/>
      <c r="D59" s="364"/>
      <c r="E59" s="365"/>
      <c r="F59" s="416">
        <v>60000</v>
      </c>
      <c r="G59" s="417"/>
      <c r="H59" s="417"/>
      <c r="I59" s="417"/>
      <c r="J59" s="417"/>
      <c r="K59" s="418"/>
      <c r="L59" s="81"/>
      <c r="AN59" s="36"/>
      <c r="AO59" s="36"/>
      <c r="AP59" s="36"/>
      <c r="AQ59" s="36"/>
    </row>
    <row r="60" spans="2:43">
      <c r="B60" s="363" t="s">
        <v>148</v>
      </c>
      <c r="C60" s="364"/>
      <c r="D60" s="364"/>
      <c r="E60" s="365"/>
      <c r="F60" s="416">
        <v>35000</v>
      </c>
      <c r="G60" s="417"/>
      <c r="H60" s="417"/>
      <c r="I60" s="417"/>
      <c r="J60" s="417"/>
      <c r="K60" s="418"/>
      <c r="L60" s="81"/>
      <c r="AN60" s="36"/>
      <c r="AO60" s="36"/>
      <c r="AP60" s="36"/>
      <c r="AQ60" s="36"/>
    </row>
    <row r="61" spans="2:43"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</row>
    <row r="62" spans="2:43"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</row>
    <row r="63" spans="2:43" ht="20.25">
      <c r="B63" s="207" t="s">
        <v>183</v>
      </c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</row>
    <row r="64" spans="2:43"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</row>
    <row r="65" spans="2:43" ht="15.75">
      <c r="B65" s="378" t="s">
        <v>85</v>
      </c>
      <c r="C65" s="379"/>
      <c r="D65" s="379"/>
      <c r="E65" s="380"/>
      <c r="F65" s="393" t="s">
        <v>125</v>
      </c>
      <c r="G65" s="396" t="s">
        <v>84</v>
      </c>
      <c r="H65" s="399" t="s">
        <v>132</v>
      </c>
      <c r="I65" s="400"/>
      <c r="J65" s="400"/>
      <c r="K65" s="400"/>
      <c r="L65" s="400"/>
      <c r="M65" s="400"/>
      <c r="N65" s="400"/>
      <c r="O65" s="401"/>
      <c r="P65" s="457"/>
      <c r="Q65" s="457"/>
      <c r="R65" s="457"/>
      <c r="S65" s="457"/>
      <c r="T65" s="457"/>
      <c r="U65" s="457"/>
      <c r="V65" s="457"/>
      <c r="W65" s="457"/>
      <c r="X65" s="110"/>
      <c r="Y65" s="457"/>
      <c r="Z65" s="457"/>
      <c r="AA65" s="457"/>
      <c r="AB65" s="457"/>
      <c r="AC65" s="457"/>
      <c r="AD65" s="457"/>
      <c r="AE65" s="457"/>
      <c r="AF65" s="110"/>
      <c r="AG65" s="457"/>
      <c r="AH65" s="457"/>
      <c r="AI65" s="457"/>
      <c r="AJ65" s="457"/>
      <c r="AK65" s="457"/>
      <c r="AL65" s="457"/>
      <c r="AM65" s="457"/>
      <c r="AN65" s="457"/>
      <c r="AO65" s="457"/>
      <c r="AP65" s="457"/>
      <c r="AQ65" s="457"/>
    </row>
    <row r="66" spans="2:43" ht="15.75">
      <c r="B66" s="381"/>
      <c r="C66" s="382"/>
      <c r="D66" s="382"/>
      <c r="E66" s="383"/>
      <c r="F66" s="394"/>
      <c r="G66" s="397"/>
      <c r="H66" s="402" t="s">
        <v>5</v>
      </c>
      <c r="I66" s="403"/>
      <c r="J66" s="404" t="s">
        <v>122</v>
      </c>
      <c r="K66" s="403"/>
      <c r="L66" s="405" t="s">
        <v>123</v>
      </c>
      <c r="M66" s="406"/>
      <c r="N66" s="405" t="s">
        <v>124</v>
      </c>
      <c r="O66" s="406"/>
      <c r="P66" s="458"/>
      <c r="Q66" s="458"/>
      <c r="R66" s="458"/>
      <c r="S66" s="458"/>
      <c r="T66" s="458"/>
      <c r="U66" s="458"/>
      <c r="V66" s="458"/>
      <c r="W66" s="458"/>
      <c r="X66" s="458"/>
      <c r="Y66" s="458"/>
      <c r="Z66" s="458"/>
      <c r="AA66" s="458"/>
      <c r="AB66" s="458"/>
      <c r="AC66" s="458"/>
      <c r="AD66" s="458"/>
      <c r="AE66" s="458"/>
      <c r="AF66" s="458"/>
      <c r="AG66" s="458"/>
      <c r="AH66" s="458"/>
      <c r="AI66" s="458"/>
      <c r="AJ66" s="458"/>
      <c r="AK66" s="458"/>
      <c r="AL66" s="458"/>
      <c r="AM66" s="458"/>
      <c r="AN66" s="110"/>
      <c r="AO66" s="110"/>
      <c r="AP66" s="110"/>
      <c r="AQ66" s="110"/>
    </row>
    <row r="67" spans="2:43" ht="15.75" thickBot="1">
      <c r="B67" s="384"/>
      <c r="C67" s="385"/>
      <c r="D67" s="385"/>
      <c r="E67" s="386"/>
      <c r="F67" s="395"/>
      <c r="G67" s="398"/>
      <c r="H67" s="153" t="s">
        <v>130</v>
      </c>
      <c r="I67" s="83" t="s">
        <v>131</v>
      </c>
      <c r="J67" s="84" t="s">
        <v>130</v>
      </c>
      <c r="K67" s="54" t="s">
        <v>131</v>
      </c>
      <c r="L67" s="84" t="s">
        <v>130</v>
      </c>
      <c r="M67" s="54" t="s">
        <v>131</v>
      </c>
      <c r="N67" s="84" t="s">
        <v>130</v>
      </c>
      <c r="O67" s="54" t="s">
        <v>131</v>
      </c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</row>
    <row r="68" spans="2:43">
      <c r="B68" s="387" t="s">
        <v>86</v>
      </c>
      <c r="C68" s="388"/>
      <c r="D68" s="388"/>
      <c r="E68" s="389"/>
      <c r="F68" s="128">
        <v>0.72</v>
      </c>
      <c r="G68" s="129">
        <v>0</v>
      </c>
      <c r="H68" s="140">
        <v>1</v>
      </c>
      <c r="I68" s="141">
        <v>0.8</v>
      </c>
      <c r="J68" s="142">
        <v>0</v>
      </c>
      <c r="K68" s="141">
        <v>0.05</v>
      </c>
      <c r="L68" s="142">
        <v>0</v>
      </c>
      <c r="M68" s="141">
        <v>0.05</v>
      </c>
      <c r="N68" s="142">
        <v>0</v>
      </c>
      <c r="O68" s="141">
        <v>0.05</v>
      </c>
      <c r="P68" s="62"/>
      <c r="Q68" s="62"/>
      <c r="R68" s="149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150"/>
      <c r="AG68" s="150"/>
      <c r="AH68" s="150"/>
      <c r="AI68" s="150"/>
      <c r="AJ68" s="150"/>
      <c r="AK68" s="150"/>
      <c r="AL68" s="150"/>
      <c r="AM68" s="150"/>
      <c r="AN68" s="62"/>
      <c r="AO68" s="62"/>
      <c r="AP68" s="62"/>
      <c r="AQ68" s="62"/>
    </row>
    <row r="69" spans="2:43">
      <c r="B69" s="390" t="s">
        <v>83</v>
      </c>
      <c r="C69" s="391"/>
      <c r="D69" s="391"/>
      <c r="E69" s="392"/>
      <c r="F69" s="130">
        <v>0.14000000000000001</v>
      </c>
      <c r="G69" s="131">
        <v>4.5</v>
      </c>
      <c r="H69" s="143">
        <v>1</v>
      </c>
      <c r="I69" s="141">
        <v>0.8</v>
      </c>
      <c r="J69" s="142">
        <v>0</v>
      </c>
      <c r="K69" s="141">
        <v>0.05</v>
      </c>
      <c r="L69" s="142">
        <v>0</v>
      </c>
      <c r="M69" s="141">
        <v>0.05</v>
      </c>
      <c r="N69" s="142">
        <v>0</v>
      </c>
      <c r="O69" s="141">
        <v>0.05</v>
      </c>
      <c r="P69" s="62"/>
      <c r="Q69" s="62"/>
      <c r="R69" s="149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150"/>
      <c r="AG69" s="150"/>
      <c r="AH69" s="150"/>
      <c r="AI69" s="150"/>
      <c r="AJ69" s="150"/>
      <c r="AK69" s="150"/>
      <c r="AL69" s="150"/>
      <c r="AM69" s="150"/>
      <c r="AN69" s="62"/>
      <c r="AO69" s="62"/>
      <c r="AP69" s="62"/>
      <c r="AQ69" s="62"/>
    </row>
    <row r="70" spans="2:43">
      <c r="B70" s="363" t="s">
        <v>87</v>
      </c>
      <c r="C70" s="364"/>
      <c r="D70" s="364"/>
      <c r="E70" s="365"/>
      <c r="F70" s="132">
        <v>4.4999999999999998E-2</v>
      </c>
      <c r="G70" s="133">
        <f>76/1000</f>
        <v>7.5999999999999998E-2</v>
      </c>
      <c r="H70" s="144">
        <v>1</v>
      </c>
      <c r="I70" s="141">
        <v>0.8</v>
      </c>
      <c r="J70" s="142">
        <v>0</v>
      </c>
      <c r="K70" s="141">
        <v>0.05</v>
      </c>
      <c r="L70" s="142">
        <v>0</v>
      </c>
      <c r="M70" s="141">
        <v>0.05</v>
      </c>
      <c r="N70" s="142">
        <v>0</v>
      </c>
      <c r="O70" s="141">
        <v>0.05</v>
      </c>
      <c r="P70" s="62"/>
      <c r="Q70" s="62"/>
      <c r="R70" s="149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150"/>
      <c r="AG70" s="150"/>
      <c r="AH70" s="150"/>
      <c r="AI70" s="150"/>
      <c r="AJ70" s="150"/>
      <c r="AK70" s="150"/>
      <c r="AL70" s="150"/>
      <c r="AM70" s="150"/>
      <c r="AN70" s="62"/>
      <c r="AO70" s="62"/>
      <c r="AP70" s="62"/>
      <c r="AQ70" s="62"/>
    </row>
    <row r="71" spans="2:43">
      <c r="B71" s="363" t="s">
        <v>88</v>
      </c>
      <c r="C71" s="364"/>
      <c r="D71" s="364"/>
      <c r="E71" s="365"/>
      <c r="F71" s="134">
        <v>2.8000000000000001E-2</v>
      </c>
      <c r="G71" s="131">
        <v>1.35</v>
      </c>
      <c r="H71" s="143">
        <v>1</v>
      </c>
      <c r="I71" s="141">
        <v>0.8</v>
      </c>
      <c r="J71" s="142">
        <v>0</v>
      </c>
      <c r="K71" s="141">
        <v>0.05</v>
      </c>
      <c r="L71" s="142">
        <v>0</v>
      </c>
      <c r="M71" s="141">
        <v>0.05</v>
      </c>
      <c r="N71" s="142">
        <v>0</v>
      </c>
      <c r="O71" s="141">
        <v>0.05</v>
      </c>
      <c r="P71" s="62"/>
      <c r="Q71" s="62"/>
      <c r="R71" s="149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150"/>
      <c r="AG71" s="150"/>
      <c r="AH71" s="150"/>
      <c r="AI71" s="150"/>
      <c r="AJ71" s="150"/>
      <c r="AK71" s="150"/>
      <c r="AL71" s="150"/>
      <c r="AM71" s="150"/>
      <c r="AN71" s="62"/>
      <c r="AO71" s="62"/>
      <c r="AP71" s="62"/>
      <c r="AQ71" s="62"/>
    </row>
    <row r="72" spans="2:43">
      <c r="B72" s="363" t="s">
        <v>89</v>
      </c>
      <c r="C72" s="364"/>
      <c r="D72" s="364"/>
      <c r="E72" s="365"/>
      <c r="F72" s="130">
        <v>2.1999999999999999E-2</v>
      </c>
      <c r="G72" s="133">
        <v>1.53</v>
      </c>
      <c r="H72" s="145">
        <v>1</v>
      </c>
      <c r="I72" s="141">
        <v>0.8</v>
      </c>
      <c r="J72" s="142">
        <v>0</v>
      </c>
      <c r="K72" s="141">
        <v>0.05</v>
      </c>
      <c r="L72" s="142">
        <v>0</v>
      </c>
      <c r="M72" s="141">
        <v>0.05</v>
      </c>
      <c r="N72" s="142">
        <v>0</v>
      </c>
      <c r="O72" s="141">
        <v>0.05</v>
      </c>
      <c r="P72" s="62"/>
      <c r="Q72" s="62"/>
      <c r="R72" s="149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150"/>
      <c r="AG72" s="150"/>
      <c r="AH72" s="150"/>
      <c r="AI72" s="150"/>
      <c r="AJ72" s="150"/>
      <c r="AK72" s="150"/>
      <c r="AL72" s="150"/>
      <c r="AM72" s="150"/>
      <c r="AN72" s="62"/>
      <c r="AO72" s="62"/>
      <c r="AP72" s="62"/>
      <c r="AQ72" s="62"/>
    </row>
    <row r="73" spans="2:43">
      <c r="B73" s="363" t="s">
        <v>90</v>
      </c>
      <c r="C73" s="364"/>
      <c r="D73" s="364"/>
      <c r="E73" s="365"/>
      <c r="F73" s="134">
        <v>0.02</v>
      </c>
      <c r="G73" s="131">
        <v>13.8</v>
      </c>
      <c r="H73" s="144">
        <v>1</v>
      </c>
      <c r="I73" s="141">
        <v>0.8</v>
      </c>
      <c r="J73" s="142">
        <v>0</v>
      </c>
      <c r="K73" s="141">
        <v>0.05</v>
      </c>
      <c r="L73" s="142">
        <v>0</v>
      </c>
      <c r="M73" s="141">
        <v>0.05</v>
      </c>
      <c r="N73" s="142">
        <v>0</v>
      </c>
      <c r="O73" s="141">
        <v>0.05</v>
      </c>
      <c r="P73" s="62"/>
      <c r="Q73" s="62"/>
      <c r="R73" s="149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150"/>
      <c r="AG73" s="150"/>
      <c r="AH73" s="150"/>
      <c r="AI73" s="150"/>
      <c r="AJ73" s="150"/>
      <c r="AK73" s="150"/>
      <c r="AL73" s="150"/>
      <c r="AM73" s="150"/>
      <c r="AN73" s="62"/>
      <c r="AO73" s="62"/>
      <c r="AP73" s="62"/>
      <c r="AQ73" s="62"/>
    </row>
    <row r="74" spans="2:43">
      <c r="B74" s="363" t="s">
        <v>91</v>
      </c>
      <c r="C74" s="364"/>
      <c r="D74" s="364"/>
      <c r="E74" s="365"/>
      <c r="F74" s="132">
        <v>1.0999999999999999E-2</v>
      </c>
      <c r="G74" s="131">
        <v>10.5</v>
      </c>
      <c r="H74" s="143">
        <v>1</v>
      </c>
      <c r="I74" s="141">
        <v>0.8</v>
      </c>
      <c r="J74" s="142">
        <v>0</v>
      </c>
      <c r="K74" s="141">
        <v>0.05</v>
      </c>
      <c r="L74" s="142">
        <v>0</v>
      </c>
      <c r="M74" s="141">
        <v>0.05</v>
      </c>
      <c r="N74" s="142">
        <v>0</v>
      </c>
      <c r="O74" s="141">
        <v>0.05</v>
      </c>
      <c r="P74" s="62"/>
      <c r="Q74" s="62"/>
      <c r="R74" s="149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150"/>
      <c r="AG74" s="150"/>
      <c r="AH74" s="150"/>
      <c r="AI74" s="150"/>
      <c r="AJ74" s="150"/>
      <c r="AK74" s="150"/>
      <c r="AL74" s="150"/>
      <c r="AM74" s="150"/>
      <c r="AN74" s="62"/>
      <c r="AO74" s="62"/>
      <c r="AP74" s="62"/>
      <c r="AQ74" s="62"/>
    </row>
    <row r="75" spans="2:43">
      <c r="B75" s="366" t="s">
        <v>92</v>
      </c>
      <c r="C75" s="367"/>
      <c r="D75" s="367"/>
      <c r="E75" s="368"/>
      <c r="F75" s="135">
        <v>4.0000000000000001E-3</v>
      </c>
      <c r="G75" s="131">
        <v>5500</v>
      </c>
      <c r="H75" s="144">
        <v>1</v>
      </c>
      <c r="I75" s="141">
        <v>0.8</v>
      </c>
      <c r="J75" s="147">
        <v>1</v>
      </c>
      <c r="K75" s="146">
        <v>0.8</v>
      </c>
      <c r="L75" s="147">
        <v>1</v>
      </c>
      <c r="M75" s="146">
        <v>0.8</v>
      </c>
      <c r="N75" s="147">
        <v>1</v>
      </c>
      <c r="O75" s="146">
        <v>0.8</v>
      </c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150"/>
      <c r="AG75" s="150"/>
      <c r="AH75" s="150"/>
      <c r="AI75" s="150"/>
      <c r="AJ75" s="150"/>
      <c r="AK75" s="150"/>
      <c r="AL75" s="150"/>
      <c r="AM75" s="150"/>
      <c r="AN75" s="62"/>
      <c r="AO75" s="62"/>
      <c r="AP75" s="62"/>
      <c r="AQ75" s="62"/>
    </row>
    <row r="76" spans="2:43">
      <c r="B76" s="363" t="s">
        <v>93</v>
      </c>
      <c r="C76" s="364"/>
      <c r="D76" s="364"/>
      <c r="E76" s="365"/>
      <c r="F76" s="134">
        <v>4.0000000000000001E-3</v>
      </c>
      <c r="G76" s="131">
        <v>1.7</v>
      </c>
      <c r="H76" s="144">
        <v>1</v>
      </c>
      <c r="I76" s="141">
        <v>0.8</v>
      </c>
      <c r="J76" s="142">
        <v>0</v>
      </c>
      <c r="K76" s="141">
        <v>0.05</v>
      </c>
      <c r="L76" s="142">
        <v>0</v>
      </c>
      <c r="M76" s="141">
        <v>0.05</v>
      </c>
      <c r="N76" s="142">
        <v>0</v>
      </c>
      <c r="O76" s="141">
        <v>0.05</v>
      </c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150"/>
      <c r="AG76" s="150"/>
      <c r="AH76" s="150"/>
      <c r="AI76" s="150"/>
      <c r="AJ76" s="150"/>
      <c r="AK76" s="150"/>
      <c r="AL76" s="150"/>
      <c r="AM76" s="150"/>
      <c r="AN76" s="62"/>
      <c r="AO76" s="62"/>
      <c r="AP76" s="62"/>
      <c r="AQ76" s="62"/>
    </row>
    <row r="77" spans="2:43">
      <c r="B77" s="363" t="s">
        <v>94</v>
      </c>
      <c r="C77" s="364"/>
      <c r="D77" s="364"/>
      <c r="E77" s="365"/>
      <c r="F77" s="136">
        <v>5.9999999999999995E-4</v>
      </c>
      <c r="G77" s="131">
        <v>460</v>
      </c>
      <c r="H77" s="144">
        <v>1</v>
      </c>
      <c r="I77" s="141">
        <v>0.8</v>
      </c>
      <c r="J77" s="142">
        <v>0</v>
      </c>
      <c r="K77" s="141">
        <v>0.05</v>
      </c>
      <c r="L77" s="142">
        <v>0</v>
      </c>
      <c r="M77" s="141">
        <v>0.05</v>
      </c>
      <c r="N77" s="142">
        <v>0</v>
      </c>
      <c r="O77" s="141">
        <v>0.05</v>
      </c>
      <c r="P77" s="63"/>
      <c r="Q77" s="62"/>
      <c r="R77" s="62"/>
      <c r="S77" s="62"/>
      <c r="T77" s="62"/>
      <c r="U77" s="62"/>
      <c r="V77" s="62"/>
      <c r="W77" s="62"/>
      <c r="X77" s="63"/>
      <c r="Y77" s="62"/>
      <c r="Z77" s="62"/>
      <c r="AA77" s="62"/>
      <c r="AB77" s="62"/>
      <c r="AC77" s="62"/>
      <c r="AD77" s="62"/>
      <c r="AE77" s="62"/>
      <c r="AF77" s="150"/>
      <c r="AG77" s="150"/>
      <c r="AH77" s="150"/>
      <c r="AI77" s="150"/>
      <c r="AJ77" s="150"/>
      <c r="AK77" s="150"/>
      <c r="AL77" s="150"/>
      <c r="AM77" s="150"/>
      <c r="AN77" s="62"/>
      <c r="AO77" s="63"/>
      <c r="AP77" s="63"/>
      <c r="AQ77" s="63"/>
    </row>
    <row r="78" spans="2:43">
      <c r="B78" s="363" t="s">
        <v>95</v>
      </c>
      <c r="C78" s="364"/>
      <c r="D78" s="364"/>
      <c r="E78" s="365"/>
      <c r="F78" s="137">
        <v>5.9999999999999995E-4</v>
      </c>
      <c r="G78" s="131">
        <v>50000</v>
      </c>
      <c r="H78" s="144">
        <v>1</v>
      </c>
      <c r="I78" s="141">
        <v>0.8</v>
      </c>
      <c r="J78" s="142">
        <v>0</v>
      </c>
      <c r="K78" s="141">
        <v>0.05</v>
      </c>
      <c r="L78" s="142">
        <v>0</v>
      </c>
      <c r="M78" s="141">
        <v>0.05</v>
      </c>
      <c r="N78" s="142">
        <v>0</v>
      </c>
      <c r="O78" s="141">
        <v>0.05</v>
      </c>
      <c r="P78" s="63"/>
      <c r="Q78" s="62"/>
      <c r="R78" s="62"/>
      <c r="S78" s="62"/>
      <c r="T78" s="62"/>
      <c r="U78" s="62"/>
      <c r="V78" s="62"/>
      <c r="W78" s="62"/>
      <c r="X78" s="63"/>
      <c r="Y78" s="62"/>
      <c r="Z78" s="62"/>
      <c r="AA78" s="62"/>
      <c r="AB78" s="62"/>
      <c r="AC78" s="62"/>
      <c r="AD78" s="62"/>
      <c r="AE78" s="62"/>
      <c r="AF78" s="150"/>
      <c r="AG78" s="150"/>
      <c r="AH78" s="150"/>
      <c r="AI78" s="150"/>
      <c r="AJ78" s="150"/>
      <c r="AK78" s="150"/>
      <c r="AL78" s="150"/>
      <c r="AM78" s="150"/>
      <c r="AN78" s="62"/>
      <c r="AO78" s="63"/>
      <c r="AP78" s="63"/>
      <c r="AQ78" s="63"/>
    </row>
    <row r="79" spans="2:43">
      <c r="B79" s="363" t="s">
        <v>96</v>
      </c>
      <c r="C79" s="364"/>
      <c r="D79" s="364"/>
      <c r="E79" s="365"/>
      <c r="F79" s="137">
        <v>4.0000000000000002E-4</v>
      </c>
      <c r="G79" s="131">
        <v>5000</v>
      </c>
      <c r="H79" s="144">
        <v>1</v>
      </c>
      <c r="I79" s="141">
        <v>0.8</v>
      </c>
      <c r="J79" s="142">
        <v>0</v>
      </c>
      <c r="K79" s="141">
        <v>0.05</v>
      </c>
      <c r="L79" s="142">
        <v>0</v>
      </c>
      <c r="M79" s="141">
        <v>0.05</v>
      </c>
      <c r="N79" s="142">
        <v>0</v>
      </c>
      <c r="O79" s="141">
        <v>0.05</v>
      </c>
      <c r="P79" s="63"/>
      <c r="Q79" s="62"/>
      <c r="R79" s="62"/>
      <c r="S79" s="62"/>
      <c r="T79" s="62"/>
      <c r="U79" s="62"/>
      <c r="V79" s="62"/>
      <c r="W79" s="62"/>
      <c r="X79" s="63"/>
      <c r="Y79" s="62"/>
      <c r="Z79" s="62"/>
      <c r="AA79" s="62"/>
      <c r="AB79" s="62"/>
      <c r="AC79" s="62"/>
      <c r="AD79" s="62"/>
      <c r="AE79" s="62"/>
      <c r="AF79" s="150"/>
      <c r="AG79" s="150"/>
      <c r="AH79" s="150"/>
      <c r="AI79" s="150"/>
      <c r="AJ79" s="150"/>
      <c r="AK79" s="150"/>
      <c r="AL79" s="150"/>
      <c r="AM79" s="150"/>
      <c r="AN79" s="62"/>
      <c r="AO79" s="63"/>
      <c r="AP79" s="63"/>
      <c r="AQ79" s="63"/>
    </row>
    <row r="80" spans="2:43">
      <c r="B80" s="366" t="s">
        <v>97</v>
      </c>
      <c r="C80" s="367"/>
      <c r="D80" s="367"/>
      <c r="E80" s="368"/>
      <c r="F80" s="138">
        <v>2.0000000000000001E-4</v>
      </c>
      <c r="G80" s="131">
        <v>3180</v>
      </c>
      <c r="H80" s="144">
        <v>1</v>
      </c>
      <c r="I80" s="141">
        <v>0.8</v>
      </c>
      <c r="J80" s="147">
        <v>1</v>
      </c>
      <c r="K80" s="146">
        <v>0.8</v>
      </c>
      <c r="L80" s="147">
        <v>1</v>
      </c>
      <c r="M80" s="146">
        <v>0.8</v>
      </c>
      <c r="N80" s="147">
        <v>1</v>
      </c>
      <c r="O80" s="146">
        <v>0.8</v>
      </c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150"/>
      <c r="AG80" s="150"/>
      <c r="AH80" s="150"/>
      <c r="AI80" s="150"/>
      <c r="AJ80" s="150"/>
      <c r="AK80" s="150"/>
      <c r="AL80" s="150"/>
      <c r="AM80" s="150"/>
      <c r="AN80" s="62"/>
      <c r="AO80" s="63"/>
      <c r="AP80" s="63"/>
      <c r="AQ80" s="63"/>
    </row>
    <row r="81" spans="2:43">
      <c r="B81" s="366" t="s">
        <v>98</v>
      </c>
      <c r="C81" s="367"/>
      <c r="D81" s="367"/>
      <c r="E81" s="368"/>
      <c r="F81" s="136">
        <v>1E-4</v>
      </c>
      <c r="G81" s="131">
        <v>40000</v>
      </c>
      <c r="H81" s="144">
        <v>1</v>
      </c>
      <c r="I81" s="141">
        <v>0.8</v>
      </c>
      <c r="J81" s="147">
        <v>1</v>
      </c>
      <c r="K81" s="146">
        <v>0.8</v>
      </c>
      <c r="L81" s="147">
        <v>1</v>
      </c>
      <c r="M81" s="146">
        <v>0.8</v>
      </c>
      <c r="N81" s="147">
        <v>1</v>
      </c>
      <c r="O81" s="146">
        <v>0.8</v>
      </c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150"/>
      <c r="AG81" s="150"/>
      <c r="AH81" s="150"/>
      <c r="AI81" s="150"/>
      <c r="AJ81" s="150"/>
      <c r="AK81" s="150"/>
      <c r="AL81" s="150"/>
      <c r="AM81" s="150"/>
      <c r="AN81" s="62"/>
      <c r="AO81" s="63"/>
      <c r="AP81" s="63"/>
      <c r="AQ81" s="63"/>
    </row>
    <row r="82" spans="2:43">
      <c r="B82" s="366" t="s">
        <v>99</v>
      </c>
      <c r="C82" s="367"/>
      <c r="D82" s="367"/>
      <c r="E82" s="368"/>
      <c r="F82" s="139">
        <v>4.0000000000000003E-5</v>
      </c>
      <c r="G82" s="131">
        <v>10000</v>
      </c>
      <c r="H82" s="144">
        <v>1</v>
      </c>
      <c r="I82" s="141">
        <v>0.8</v>
      </c>
      <c r="J82" s="147">
        <v>1</v>
      </c>
      <c r="K82" s="146">
        <v>0.8</v>
      </c>
      <c r="L82" s="147">
        <v>1</v>
      </c>
      <c r="M82" s="146">
        <v>0.8</v>
      </c>
      <c r="N82" s="147">
        <v>1</v>
      </c>
      <c r="O82" s="146">
        <v>0.8</v>
      </c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150"/>
      <c r="AG82" s="150"/>
      <c r="AH82" s="150"/>
      <c r="AI82" s="150"/>
      <c r="AJ82" s="150"/>
      <c r="AK82" s="150"/>
      <c r="AL82" s="150"/>
      <c r="AM82" s="150"/>
      <c r="AN82" s="62"/>
      <c r="AO82" s="36"/>
      <c r="AP82" s="63"/>
      <c r="AQ82" s="63"/>
    </row>
    <row r="83" spans="2:43" ht="15.75">
      <c r="B83" s="369" t="s">
        <v>126</v>
      </c>
      <c r="C83" s="370"/>
      <c r="D83" s="370"/>
      <c r="E83" s="371"/>
      <c r="F83" s="65">
        <f>SUM(F68:F82)</f>
        <v>0.99594000000000016</v>
      </c>
      <c r="G83" s="57"/>
      <c r="H83" s="58"/>
      <c r="I83" s="59"/>
      <c r="J83" s="59"/>
      <c r="K83" s="59"/>
      <c r="L83" s="59"/>
      <c r="M83" s="59"/>
      <c r="N83" s="59"/>
      <c r="O83" s="154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2"/>
      <c r="AG83" s="152"/>
      <c r="AH83" s="152"/>
      <c r="AI83" s="152"/>
      <c r="AJ83" s="152"/>
      <c r="AK83" s="152"/>
      <c r="AL83" s="152"/>
      <c r="AM83" s="152"/>
      <c r="AN83" s="64"/>
      <c r="AO83" s="64"/>
      <c r="AP83" s="64"/>
      <c r="AQ83" s="64"/>
    </row>
    <row r="84" spans="2:43">
      <c r="P84" s="64"/>
      <c r="Q84" s="64"/>
      <c r="R84" s="64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</row>
    <row r="86" spans="2:43" ht="20.25">
      <c r="B86" s="207" t="s">
        <v>182</v>
      </c>
    </row>
    <row r="88" spans="2:43" ht="15.75">
      <c r="B88" s="378" t="s">
        <v>85</v>
      </c>
      <c r="C88" s="379"/>
      <c r="D88" s="379"/>
      <c r="E88" s="380"/>
      <c r="F88" s="393" t="s">
        <v>125</v>
      </c>
      <c r="G88" s="396" t="s">
        <v>84</v>
      </c>
      <c r="H88" s="399" t="s">
        <v>132</v>
      </c>
      <c r="I88" s="400"/>
      <c r="J88" s="400"/>
      <c r="K88" s="400"/>
      <c r="L88" s="400"/>
      <c r="M88" s="400"/>
      <c r="N88" s="400"/>
      <c r="O88" s="401"/>
    </row>
    <row r="89" spans="2:43">
      <c r="B89" s="381"/>
      <c r="C89" s="382"/>
      <c r="D89" s="382"/>
      <c r="E89" s="383"/>
      <c r="F89" s="394"/>
      <c r="G89" s="397"/>
      <c r="H89" s="402" t="s">
        <v>6</v>
      </c>
      <c r="I89" s="403"/>
      <c r="J89" s="404" t="s">
        <v>122</v>
      </c>
      <c r="K89" s="403"/>
      <c r="L89" s="405" t="s">
        <v>123</v>
      </c>
      <c r="M89" s="406"/>
      <c r="N89" s="405" t="s">
        <v>124</v>
      </c>
      <c r="O89" s="406"/>
    </row>
    <row r="90" spans="2:43" ht="15.75" thickBot="1">
      <c r="B90" s="384"/>
      <c r="C90" s="385"/>
      <c r="D90" s="385"/>
      <c r="E90" s="386"/>
      <c r="F90" s="395"/>
      <c r="G90" s="398"/>
      <c r="H90" s="153" t="s">
        <v>130</v>
      </c>
      <c r="I90" s="83" t="s">
        <v>131</v>
      </c>
      <c r="J90" s="84" t="s">
        <v>130</v>
      </c>
      <c r="K90" s="54" t="s">
        <v>131</v>
      </c>
      <c r="L90" s="84" t="s">
        <v>130</v>
      </c>
      <c r="M90" s="54" t="s">
        <v>131</v>
      </c>
      <c r="N90" s="84" t="s">
        <v>130</v>
      </c>
      <c r="O90" s="54" t="s">
        <v>131</v>
      </c>
    </row>
    <row r="91" spans="2:43">
      <c r="B91" s="387" t="s">
        <v>86</v>
      </c>
      <c r="C91" s="388"/>
      <c r="D91" s="388"/>
      <c r="E91" s="389"/>
      <c r="F91" s="128">
        <v>0.72</v>
      </c>
      <c r="G91" s="129">
        <v>0</v>
      </c>
      <c r="H91" s="140">
        <v>1</v>
      </c>
      <c r="I91" s="141">
        <v>0.95</v>
      </c>
      <c r="J91" s="142">
        <v>0</v>
      </c>
      <c r="K91" s="141">
        <v>0.02</v>
      </c>
      <c r="L91" s="142">
        <v>0</v>
      </c>
      <c r="M91" s="141">
        <v>0.02</v>
      </c>
      <c r="N91" s="142">
        <v>0</v>
      </c>
      <c r="O91" s="141">
        <v>0.02</v>
      </c>
    </row>
    <row r="92" spans="2:43">
      <c r="B92" s="390" t="s">
        <v>83</v>
      </c>
      <c r="C92" s="391"/>
      <c r="D92" s="391"/>
      <c r="E92" s="392"/>
      <c r="F92" s="130">
        <v>0.14000000000000001</v>
      </c>
      <c r="G92" s="131">
        <v>4.5</v>
      </c>
      <c r="H92" s="143">
        <v>1</v>
      </c>
      <c r="I92" s="141">
        <v>0.95</v>
      </c>
      <c r="J92" s="142">
        <v>0</v>
      </c>
      <c r="K92" s="141">
        <v>0.02</v>
      </c>
      <c r="L92" s="142">
        <v>0</v>
      </c>
      <c r="M92" s="141">
        <v>0.02</v>
      </c>
      <c r="N92" s="142">
        <v>0</v>
      </c>
      <c r="O92" s="141">
        <v>0.02</v>
      </c>
    </row>
    <row r="93" spans="2:43">
      <c r="B93" s="363" t="s">
        <v>87</v>
      </c>
      <c r="C93" s="364"/>
      <c r="D93" s="364"/>
      <c r="E93" s="365"/>
      <c r="F93" s="132">
        <v>4.4999999999999998E-2</v>
      </c>
      <c r="G93" s="133">
        <f>76/1000</f>
        <v>7.5999999999999998E-2</v>
      </c>
      <c r="H93" s="144">
        <v>1</v>
      </c>
      <c r="I93" s="141">
        <v>0.95</v>
      </c>
      <c r="J93" s="142">
        <v>0</v>
      </c>
      <c r="K93" s="141">
        <v>0.02</v>
      </c>
      <c r="L93" s="142">
        <v>0</v>
      </c>
      <c r="M93" s="141">
        <v>0.02</v>
      </c>
      <c r="N93" s="142">
        <v>0</v>
      </c>
      <c r="O93" s="141">
        <v>0.02</v>
      </c>
    </row>
    <row r="94" spans="2:43">
      <c r="B94" s="363" t="s">
        <v>88</v>
      </c>
      <c r="C94" s="364"/>
      <c r="D94" s="364"/>
      <c r="E94" s="365"/>
      <c r="F94" s="134">
        <v>2.8000000000000001E-2</v>
      </c>
      <c r="G94" s="131">
        <v>1.35</v>
      </c>
      <c r="H94" s="143">
        <v>1</v>
      </c>
      <c r="I94" s="141">
        <v>0.95</v>
      </c>
      <c r="J94" s="142">
        <v>0</v>
      </c>
      <c r="K94" s="141">
        <v>0.02</v>
      </c>
      <c r="L94" s="142">
        <v>0</v>
      </c>
      <c r="M94" s="141">
        <v>0.02</v>
      </c>
      <c r="N94" s="142">
        <v>0</v>
      </c>
      <c r="O94" s="141">
        <v>0.02</v>
      </c>
    </row>
    <row r="95" spans="2:43">
      <c r="B95" s="363" t="s">
        <v>89</v>
      </c>
      <c r="C95" s="364"/>
      <c r="D95" s="364"/>
      <c r="E95" s="365"/>
      <c r="F95" s="130">
        <v>2.1999999999999999E-2</v>
      </c>
      <c r="G95" s="133">
        <v>1.53</v>
      </c>
      <c r="H95" s="145">
        <v>1</v>
      </c>
      <c r="I95" s="141">
        <v>0.95</v>
      </c>
      <c r="J95" s="142">
        <v>0</v>
      </c>
      <c r="K95" s="141">
        <v>0.02</v>
      </c>
      <c r="L95" s="142">
        <v>0</v>
      </c>
      <c r="M95" s="141">
        <v>0.02</v>
      </c>
      <c r="N95" s="142">
        <v>0</v>
      </c>
      <c r="O95" s="141">
        <v>0.02</v>
      </c>
    </row>
    <row r="96" spans="2:43">
      <c r="B96" s="363" t="s">
        <v>90</v>
      </c>
      <c r="C96" s="364"/>
      <c r="D96" s="364"/>
      <c r="E96" s="365"/>
      <c r="F96" s="134">
        <v>0.02</v>
      </c>
      <c r="G96" s="131">
        <v>13.8</v>
      </c>
      <c r="H96" s="144">
        <v>1</v>
      </c>
      <c r="I96" s="141">
        <v>0.95</v>
      </c>
      <c r="J96" s="142">
        <v>0</v>
      </c>
      <c r="K96" s="141">
        <v>0.02</v>
      </c>
      <c r="L96" s="142">
        <v>0</v>
      </c>
      <c r="M96" s="141">
        <v>0.02</v>
      </c>
      <c r="N96" s="142">
        <v>0</v>
      </c>
      <c r="O96" s="141">
        <v>0.02</v>
      </c>
    </row>
    <row r="97" spans="2:15">
      <c r="B97" s="363" t="s">
        <v>91</v>
      </c>
      <c r="C97" s="364"/>
      <c r="D97" s="364"/>
      <c r="E97" s="365"/>
      <c r="F97" s="132">
        <v>1.0999999999999999E-2</v>
      </c>
      <c r="G97" s="131">
        <v>10.5</v>
      </c>
      <c r="H97" s="143">
        <v>1</v>
      </c>
      <c r="I97" s="141">
        <v>0.95</v>
      </c>
      <c r="J97" s="142">
        <v>0</v>
      </c>
      <c r="K97" s="141">
        <v>0.02</v>
      </c>
      <c r="L97" s="142">
        <v>0</v>
      </c>
      <c r="M97" s="141">
        <v>0.02</v>
      </c>
      <c r="N97" s="142">
        <v>0</v>
      </c>
      <c r="O97" s="141">
        <v>0.02</v>
      </c>
    </row>
    <row r="98" spans="2:15">
      <c r="B98" s="366" t="s">
        <v>92</v>
      </c>
      <c r="C98" s="367"/>
      <c r="D98" s="367"/>
      <c r="E98" s="368"/>
      <c r="F98" s="135">
        <v>4.0000000000000001E-3</v>
      </c>
      <c r="G98" s="131">
        <v>5500</v>
      </c>
      <c r="H98" s="144">
        <v>1</v>
      </c>
      <c r="I98" s="141">
        <v>0.95</v>
      </c>
      <c r="J98" s="147">
        <v>1</v>
      </c>
      <c r="K98" s="146">
        <v>0.9</v>
      </c>
      <c r="L98" s="147">
        <v>1</v>
      </c>
      <c r="M98" s="146">
        <v>0.9</v>
      </c>
      <c r="N98" s="147">
        <v>1</v>
      </c>
      <c r="O98" s="146">
        <v>0.9</v>
      </c>
    </row>
    <row r="99" spans="2:15">
      <c r="B99" s="363" t="s">
        <v>93</v>
      </c>
      <c r="C99" s="364"/>
      <c r="D99" s="364"/>
      <c r="E99" s="365"/>
      <c r="F99" s="134">
        <v>4.0000000000000001E-3</v>
      </c>
      <c r="G99" s="131">
        <v>1.7</v>
      </c>
      <c r="H99" s="144">
        <v>1</v>
      </c>
      <c r="I99" s="141">
        <v>0.95</v>
      </c>
      <c r="J99" s="142">
        <v>0</v>
      </c>
      <c r="K99" s="141">
        <v>0.02</v>
      </c>
      <c r="L99" s="142">
        <v>0</v>
      </c>
      <c r="M99" s="141">
        <v>0.02</v>
      </c>
      <c r="N99" s="142">
        <v>0</v>
      </c>
      <c r="O99" s="141">
        <v>0.02</v>
      </c>
    </row>
    <row r="100" spans="2:15">
      <c r="B100" s="363" t="s">
        <v>94</v>
      </c>
      <c r="C100" s="364"/>
      <c r="D100" s="364"/>
      <c r="E100" s="365"/>
      <c r="F100" s="136">
        <v>5.9999999999999995E-4</v>
      </c>
      <c r="G100" s="131">
        <v>460</v>
      </c>
      <c r="H100" s="144">
        <v>1</v>
      </c>
      <c r="I100" s="141">
        <v>0.95</v>
      </c>
      <c r="J100" s="142">
        <v>0</v>
      </c>
      <c r="K100" s="141">
        <v>0.02</v>
      </c>
      <c r="L100" s="142">
        <v>0</v>
      </c>
      <c r="M100" s="141">
        <v>0.02</v>
      </c>
      <c r="N100" s="142">
        <v>0</v>
      </c>
      <c r="O100" s="141">
        <v>0.02</v>
      </c>
    </row>
    <row r="101" spans="2:15">
      <c r="B101" s="363" t="s">
        <v>95</v>
      </c>
      <c r="C101" s="364"/>
      <c r="D101" s="364"/>
      <c r="E101" s="365"/>
      <c r="F101" s="137">
        <v>5.9999999999999995E-4</v>
      </c>
      <c r="G101" s="131">
        <v>50000</v>
      </c>
      <c r="H101" s="144">
        <v>1</v>
      </c>
      <c r="I101" s="141">
        <v>0.95</v>
      </c>
      <c r="J101" s="142">
        <v>0</v>
      </c>
      <c r="K101" s="141">
        <v>0.02</v>
      </c>
      <c r="L101" s="142">
        <v>0</v>
      </c>
      <c r="M101" s="141">
        <v>0.02</v>
      </c>
      <c r="N101" s="142">
        <v>0</v>
      </c>
      <c r="O101" s="141">
        <v>0.02</v>
      </c>
    </row>
    <row r="102" spans="2:15">
      <c r="B102" s="363" t="s">
        <v>96</v>
      </c>
      <c r="C102" s="364"/>
      <c r="D102" s="364"/>
      <c r="E102" s="365"/>
      <c r="F102" s="137">
        <v>4.0000000000000002E-4</v>
      </c>
      <c r="G102" s="131">
        <v>5000</v>
      </c>
      <c r="H102" s="144">
        <v>1</v>
      </c>
      <c r="I102" s="141">
        <v>0.95</v>
      </c>
      <c r="J102" s="142">
        <v>0</v>
      </c>
      <c r="K102" s="141">
        <v>0.02</v>
      </c>
      <c r="L102" s="142">
        <v>0</v>
      </c>
      <c r="M102" s="141">
        <v>0.02</v>
      </c>
      <c r="N102" s="142">
        <v>0</v>
      </c>
      <c r="O102" s="141">
        <v>0.02</v>
      </c>
    </row>
    <row r="103" spans="2:15">
      <c r="B103" s="366" t="s">
        <v>97</v>
      </c>
      <c r="C103" s="367"/>
      <c r="D103" s="367"/>
      <c r="E103" s="368"/>
      <c r="F103" s="138">
        <v>2.0000000000000001E-4</v>
      </c>
      <c r="G103" s="131">
        <v>3180</v>
      </c>
      <c r="H103" s="144">
        <v>1</v>
      </c>
      <c r="I103" s="141">
        <v>0.95</v>
      </c>
      <c r="J103" s="147">
        <v>1</v>
      </c>
      <c r="K103" s="146">
        <v>0.9</v>
      </c>
      <c r="L103" s="147">
        <v>1</v>
      </c>
      <c r="M103" s="146">
        <v>0.9</v>
      </c>
      <c r="N103" s="147">
        <v>1</v>
      </c>
      <c r="O103" s="146">
        <v>0.9</v>
      </c>
    </row>
    <row r="104" spans="2:15">
      <c r="B104" s="366" t="s">
        <v>98</v>
      </c>
      <c r="C104" s="367"/>
      <c r="D104" s="367"/>
      <c r="E104" s="368"/>
      <c r="F104" s="136">
        <v>1E-4</v>
      </c>
      <c r="G104" s="131">
        <v>40000</v>
      </c>
      <c r="H104" s="144">
        <v>1</v>
      </c>
      <c r="I104" s="141">
        <v>0.95</v>
      </c>
      <c r="J104" s="147">
        <v>1</v>
      </c>
      <c r="K104" s="146">
        <v>0.9</v>
      </c>
      <c r="L104" s="147">
        <v>1</v>
      </c>
      <c r="M104" s="146">
        <v>0.9</v>
      </c>
      <c r="N104" s="147">
        <v>1</v>
      </c>
      <c r="O104" s="146">
        <v>0.9</v>
      </c>
    </row>
    <row r="105" spans="2:15">
      <c r="B105" s="366" t="s">
        <v>99</v>
      </c>
      <c r="C105" s="367"/>
      <c r="D105" s="367"/>
      <c r="E105" s="368"/>
      <c r="F105" s="139">
        <v>4.0000000000000003E-5</v>
      </c>
      <c r="G105" s="131">
        <v>10000</v>
      </c>
      <c r="H105" s="144">
        <v>1</v>
      </c>
      <c r="I105" s="141">
        <v>0.95</v>
      </c>
      <c r="J105" s="147">
        <v>1</v>
      </c>
      <c r="K105" s="146">
        <v>0.9</v>
      </c>
      <c r="L105" s="147">
        <v>1</v>
      </c>
      <c r="M105" s="146">
        <v>0.9</v>
      </c>
      <c r="N105" s="147">
        <v>1</v>
      </c>
      <c r="O105" s="146">
        <v>0.9</v>
      </c>
    </row>
    <row r="106" spans="2:15" ht="15.75">
      <c r="B106" s="369" t="s">
        <v>126</v>
      </c>
      <c r="C106" s="370"/>
      <c r="D106" s="370"/>
      <c r="E106" s="371"/>
      <c r="F106" s="65">
        <f>SUM(F91:F105)</f>
        <v>0.99594000000000016</v>
      </c>
      <c r="G106" s="57"/>
      <c r="H106" s="58"/>
      <c r="I106" s="59"/>
      <c r="J106" s="59"/>
      <c r="K106" s="59"/>
      <c r="L106" s="59"/>
      <c r="M106" s="59"/>
      <c r="N106" s="59"/>
      <c r="O106" s="154"/>
    </row>
  </sheetData>
  <mergeCells count="158">
    <mergeCell ref="B49:E49"/>
    <mergeCell ref="F49:K49"/>
    <mergeCell ref="B50:E50"/>
    <mergeCell ref="F50:K50"/>
    <mergeCell ref="B51:E51"/>
    <mergeCell ref="F51:K51"/>
    <mergeCell ref="B46:E46"/>
    <mergeCell ref="F46:K46"/>
    <mergeCell ref="B48:E48"/>
    <mergeCell ref="F48:K48"/>
    <mergeCell ref="B43:E43"/>
    <mergeCell ref="F43:K43"/>
    <mergeCell ref="B44:E44"/>
    <mergeCell ref="F44:K44"/>
    <mergeCell ref="B60:E60"/>
    <mergeCell ref="F59:K59"/>
    <mergeCell ref="F60:K60"/>
    <mergeCell ref="B12:E12"/>
    <mergeCell ref="F12:K12"/>
    <mergeCell ref="B32:E32"/>
    <mergeCell ref="F32:K32"/>
    <mergeCell ref="B34:E34"/>
    <mergeCell ref="F34:K34"/>
    <mergeCell ref="B35:E35"/>
    <mergeCell ref="F35:K35"/>
    <mergeCell ref="B36:E36"/>
    <mergeCell ref="F36:K36"/>
    <mergeCell ref="B37:E37"/>
    <mergeCell ref="B28:E28"/>
    <mergeCell ref="F25:K25"/>
    <mergeCell ref="F27:K27"/>
    <mergeCell ref="F28:K28"/>
    <mergeCell ref="B59:E59"/>
    <mergeCell ref="F37:K37"/>
    <mergeCell ref="B70:E70"/>
    <mergeCell ref="B71:E71"/>
    <mergeCell ref="B72:E72"/>
    <mergeCell ref="B73:E73"/>
    <mergeCell ref="B74:E74"/>
    <mergeCell ref="B75:E75"/>
    <mergeCell ref="B76:E76"/>
    <mergeCell ref="B77:E77"/>
    <mergeCell ref="AJ66:AK66"/>
    <mergeCell ref="H66:I66"/>
    <mergeCell ref="J66:K66"/>
    <mergeCell ref="L66:M66"/>
    <mergeCell ref="N66:O66"/>
    <mergeCell ref="F65:F67"/>
    <mergeCell ref="Y65:AE65"/>
    <mergeCell ref="AG65:AM65"/>
    <mergeCell ref="AN65:AQ65"/>
    <mergeCell ref="R66:S66"/>
    <mergeCell ref="P66:Q66"/>
    <mergeCell ref="T66:U66"/>
    <mergeCell ref="V66:W66"/>
    <mergeCell ref="X66:Y66"/>
    <mergeCell ref="Z66:AA66"/>
    <mergeCell ref="AB66:AC66"/>
    <mergeCell ref="AD66:AE66"/>
    <mergeCell ref="AF66:AG66"/>
    <mergeCell ref="AH66:AI66"/>
    <mergeCell ref="AL66:AM66"/>
    <mergeCell ref="P65:W65"/>
    <mergeCell ref="A1:K1"/>
    <mergeCell ref="B6:K6"/>
    <mergeCell ref="B18:E18"/>
    <mergeCell ref="B20:E20"/>
    <mergeCell ref="B21:E21"/>
    <mergeCell ref="B22:E22"/>
    <mergeCell ref="F18:K18"/>
    <mergeCell ref="F29:K29"/>
    <mergeCell ref="B30:E30"/>
    <mergeCell ref="F30:K30"/>
    <mergeCell ref="B14:E14"/>
    <mergeCell ref="F14:K14"/>
    <mergeCell ref="F20:K20"/>
    <mergeCell ref="B25:E25"/>
    <mergeCell ref="B27:E27"/>
    <mergeCell ref="F21:K21"/>
    <mergeCell ref="F22:K22"/>
    <mergeCell ref="B23:E23"/>
    <mergeCell ref="F23:K23"/>
    <mergeCell ref="B15:K15"/>
    <mergeCell ref="B16:E16"/>
    <mergeCell ref="F16:K16"/>
    <mergeCell ref="F7:K7"/>
    <mergeCell ref="B7:E7"/>
    <mergeCell ref="A7:A13"/>
    <mergeCell ref="F13:K13"/>
    <mergeCell ref="F8:K8"/>
    <mergeCell ref="B8:E8"/>
    <mergeCell ref="F9:K9"/>
    <mergeCell ref="B9:E9"/>
    <mergeCell ref="B13:E13"/>
    <mergeCell ref="B11:E11"/>
    <mergeCell ref="F11:K11"/>
    <mergeCell ref="F26:K26"/>
    <mergeCell ref="F33:K33"/>
    <mergeCell ref="F40:K40"/>
    <mergeCell ref="F47:K47"/>
    <mergeCell ref="B29:E29"/>
    <mergeCell ref="B68:E68"/>
    <mergeCell ref="B69:E69"/>
    <mergeCell ref="B57:E57"/>
    <mergeCell ref="F57:K57"/>
    <mergeCell ref="B58:E58"/>
    <mergeCell ref="F58:K58"/>
    <mergeCell ref="B54:K54"/>
    <mergeCell ref="B55:E55"/>
    <mergeCell ref="F55:K55"/>
    <mergeCell ref="B56:E56"/>
    <mergeCell ref="F56:K56"/>
    <mergeCell ref="G65:G67"/>
    <mergeCell ref="H65:O65"/>
    <mergeCell ref="B39:E39"/>
    <mergeCell ref="F39:K39"/>
    <mergeCell ref="B41:E41"/>
    <mergeCell ref="F41:K41"/>
    <mergeCell ref="B42:E42"/>
    <mergeCell ref="F42:K42"/>
    <mergeCell ref="B99:E99"/>
    <mergeCell ref="F88:F90"/>
    <mergeCell ref="G88:G90"/>
    <mergeCell ref="H88:O88"/>
    <mergeCell ref="H89:I89"/>
    <mergeCell ref="J89:K89"/>
    <mergeCell ref="L89:M89"/>
    <mergeCell ref="N89:O89"/>
    <mergeCell ref="B78:E78"/>
    <mergeCell ref="B82:E82"/>
    <mergeCell ref="B79:E79"/>
    <mergeCell ref="B80:E80"/>
    <mergeCell ref="B81:E81"/>
    <mergeCell ref="B83:E83"/>
    <mergeCell ref="B100:E100"/>
    <mergeCell ref="B101:E101"/>
    <mergeCell ref="B102:E102"/>
    <mergeCell ref="B103:E103"/>
    <mergeCell ref="B104:E104"/>
    <mergeCell ref="B105:E105"/>
    <mergeCell ref="B106:E106"/>
    <mergeCell ref="F19:K19"/>
    <mergeCell ref="F10:K10"/>
    <mergeCell ref="B65:E67"/>
    <mergeCell ref="B88:E90"/>
    <mergeCell ref="B17:K17"/>
    <mergeCell ref="B24:K24"/>
    <mergeCell ref="B31:K31"/>
    <mergeCell ref="B38:K38"/>
    <mergeCell ref="B45:K45"/>
    <mergeCell ref="B91:E91"/>
    <mergeCell ref="B92:E92"/>
    <mergeCell ref="B93:E93"/>
    <mergeCell ref="B94:E94"/>
    <mergeCell ref="B95:E95"/>
    <mergeCell ref="B96:E96"/>
    <mergeCell ref="B97:E97"/>
    <mergeCell ref="B98:E98"/>
  </mergeCells>
  <phoneticPr fontId="5" type="noConversion"/>
  <pageMargins left="0.25" right="0.25" top="0.75" bottom="0.75" header="0.3" footer="0.3"/>
  <pageSetup paperSize="9" scale="55" orientation="portrait" horizontalDpi="4294967293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7"/>
  <sheetViews>
    <sheetView showGridLines="0" zoomScale="70" zoomScaleNormal="70" workbookViewId="0">
      <selection activeCell="L25" sqref="L25"/>
    </sheetView>
  </sheetViews>
  <sheetFormatPr baseColWidth="10" defaultRowHeight="15"/>
  <cols>
    <col min="1" max="1" width="5.6640625" customWidth="1"/>
    <col min="2" max="7" width="13.6640625" customWidth="1"/>
    <col min="8" max="15" width="8.44140625" customWidth="1"/>
    <col min="16" max="16" width="8.5546875" style="209" customWidth="1"/>
    <col min="17" max="17" width="8.5546875" customWidth="1"/>
    <col min="18" max="23" width="13.6640625" customWidth="1"/>
    <col min="24" max="31" width="8.44140625" customWidth="1"/>
    <col min="32" max="39" width="8.5546875" customWidth="1"/>
    <col min="40" max="43" width="13.21875" customWidth="1"/>
  </cols>
  <sheetData>
    <row r="1" spans="1:43">
      <c r="A1" s="443"/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111"/>
      <c r="P1"/>
    </row>
    <row r="2" spans="1:43" ht="26.25">
      <c r="B2" s="2" t="s">
        <v>205</v>
      </c>
      <c r="P2"/>
    </row>
    <row r="3" spans="1:43" ht="18" customHeight="1">
      <c r="P3"/>
    </row>
    <row r="4" spans="1:43" ht="18" customHeight="1">
      <c r="B4" s="207" t="s">
        <v>186</v>
      </c>
      <c r="F4" s="208"/>
      <c r="H4" s="207"/>
      <c r="R4" s="207" t="s">
        <v>185</v>
      </c>
    </row>
    <row r="5" spans="1:43" ht="18">
      <c r="A5" s="11"/>
      <c r="B5" s="1"/>
      <c r="F5" s="208"/>
      <c r="L5" s="11"/>
    </row>
    <row r="6" spans="1:43">
      <c r="A6" s="11"/>
      <c r="B6" s="12"/>
      <c r="C6" s="7"/>
      <c r="D6" s="14"/>
      <c r="E6" s="7"/>
      <c r="F6" s="11"/>
      <c r="G6" s="11"/>
      <c r="H6" s="11"/>
      <c r="I6" s="11"/>
      <c r="J6" s="11"/>
      <c r="K6" s="11"/>
      <c r="L6" s="11"/>
    </row>
    <row r="7" spans="1:43" s="36" customFormat="1">
      <c r="B7" s="44"/>
      <c r="C7" s="44"/>
      <c r="D7" s="44"/>
      <c r="E7" s="44"/>
      <c r="F7" s="43"/>
      <c r="G7" s="43"/>
      <c r="H7" s="43"/>
      <c r="I7" s="43"/>
      <c r="J7" s="43"/>
      <c r="K7" s="43"/>
      <c r="L7" s="75"/>
      <c r="N7"/>
      <c r="O7"/>
      <c r="P7" s="209"/>
      <c r="Q7"/>
      <c r="R7" s="125"/>
      <c r="S7" s="125"/>
      <c r="T7" s="125"/>
      <c r="U7" s="125"/>
      <c r="V7" s="43"/>
      <c r="W7" s="43"/>
      <c r="X7" s="43"/>
      <c r="Y7" s="43"/>
      <c r="Z7" s="43"/>
      <c r="AA7" s="43"/>
      <c r="AB7" s="75"/>
      <c r="AD7"/>
      <c r="AE7"/>
    </row>
    <row r="8" spans="1:43" s="36" customFormat="1">
      <c r="B8" s="44"/>
      <c r="C8" s="44"/>
      <c r="D8" s="44"/>
      <c r="E8" s="44"/>
      <c r="F8" s="43"/>
      <c r="G8" s="43"/>
      <c r="H8" s="43"/>
      <c r="I8" s="43"/>
      <c r="J8" s="43"/>
      <c r="K8" s="43"/>
      <c r="L8" s="75"/>
      <c r="P8" s="210"/>
      <c r="R8" s="125"/>
      <c r="S8" s="125"/>
      <c r="T8" s="125"/>
      <c r="U8" s="125"/>
      <c r="V8" s="43"/>
      <c r="W8" s="43"/>
      <c r="X8" s="43"/>
      <c r="Y8" s="43"/>
      <c r="Z8" s="43"/>
      <c r="AA8" s="43"/>
      <c r="AB8" s="75"/>
    </row>
    <row r="9" spans="1:43" ht="16.5" thickBot="1">
      <c r="B9" s="419" t="s">
        <v>74</v>
      </c>
      <c r="C9" s="420"/>
      <c r="D9" s="420"/>
      <c r="E9" s="420"/>
      <c r="F9" s="420"/>
      <c r="G9" s="420"/>
      <c r="H9" s="420"/>
      <c r="I9" s="420"/>
      <c r="J9" s="420"/>
      <c r="K9" s="421"/>
      <c r="L9" s="112"/>
      <c r="R9" s="419" t="s">
        <v>74</v>
      </c>
      <c r="S9" s="420"/>
      <c r="T9" s="420"/>
      <c r="U9" s="420"/>
      <c r="V9" s="420"/>
      <c r="W9" s="420"/>
      <c r="X9" s="420"/>
      <c r="Y9" s="420"/>
      <c r="Z9" s="420"/>
      <c r="AA9" s="421"/>
      <c r="AB9" s="112"/>
    </row>
    <row r="10" spans="1:43">
      <c r="B10" s="387" t="s">
        <v>75</v>
      </c>
      <c r="C10" s="388" t="s">
        <v>68</v>
      </c>
      <c r="D10" s="388" t="s">
        <v>68</v>
      </c>
      <c r="E10" s="389" t="s">
        <v>68</v>
      </c>
      <c r="F10" s="490">
        <f>Annahmen!F55</f>
        <v>2</v>
      </c>
      <c r="G10" s="491"/>
      <c r="H10" s="491"/>
      <c r="I10" s="491"/>
      <c r="J10" s="491"/>
      <c r="K10" s="492"/>
      <c r="L10" s="81"/>
      <c r="R10" s="387" t="s">
        <v>75</v>
      </c>
      <c r="S10" s="388" t="s">
        <v>68</v>
      </c>
      <c r="T10" s="388" t="s">
        <v>68</v>
      </c>
      <c r="U10" s="389" t="s">
        <v>68</v>
      </c>
      <c r="V10" s="490">
        <f>Annahmen!F55</f>
        <v>2</v>
      </c>
      <c r="W10" s="491"/>
      <c r="X10" s="491"/>
      <c r="Y10" s="491"/>
      <c r="Z10" s="491"/>
      <c r="AA10" s="492"/>
      <c r="AB10" s="81"/>
    </row>
    <row r="11" spans="1:43">
      <c r="B11" s="363" t="s">
        <v>76</v>
      </c>
      <c r="C11" s="364" t="s">
        <v>69</v>
      </c>
      <c r="D11" s="364" t="s">
        <v>69</v>
      </c>
      <c r="E11" s="365" t="s">
        <v>69</v>
      </c>
      <c r="F11" s="481">
        <f>Annahmen!F56</f>
        <v>8</v>
      </c>
      <c r="G11" s="482"/>
      <c r="H11" s="482"/>
      <c r="I11" s="482"/>
      <c r="J11" s="482"/>
      <c r="K11" s="483"/>
      <c r="L11" s="82"/>
      <c r="R11" s="363" t="s">
        <v>76</v>
      </c>
      <c r="S11" s="364" t="s">
        <v>69</v>
      </c>
      <c r="T11" s="364" t="s">
        <v>69</v>
      </c>
      <c r="U11" s="365" t="s">
        <v>69</v>
      </c>
      <c r="V11" s="481">
        <f>Annahmen!F56</f>
        <v>8</v>
      </c>
      <c r="W11" s="482"/>
      <c r="X11" s="482"/>
      <c r="Y11" s="482"/>
      <c r="Z11" s="482"/>
      <c r="AA11" s="483"/>
      <c r="AB11" s="82"/>
    </row>
    <row r="12" spans="1:43">
      <c r="B12" s="363" t="s">
        <v>77</v>
      </c>
      <c r="C12" s="364" t="s">
        <v>70</v>
      </c>
      <c r="D12" s="364" t="s">
        <v>70</v>
      </c>
      <c r="E12" s="365" t="s">
        <v>70</v>
      </c>
      <c r="F12" s="484">
        <f>Annahmen!F57</f>
        <v>5</v>
      </c>
      <c r="G12" s="485"/>
      <c r="H12" s="485"/>
      <c r="I12" s="485"/>
      <c r="J12" s="485"/>
      <c r="K12" s="486"/>
      <c r="L12" s="67"/>
      <c r="R12" s="363" t="s">
        <v>77</v>
      </c>
      <c r="S12" s="364" t="s">
        <v>70</v>
      </c>
      <c r="T12" s="364" t="s">
        <v>70</v>
      </c>
      <c r="U12" s="365" t="s">
        <v>70</v>
      </c>
      <c r="V12" s="484">
        <f>Annahmen!F57</f>
        <v>5</v>
      </c>
      <c r="W12" s="485"/>
      <c r="X12" s="485"/>
      <c r="Y12" s="485"/>
      <c r="Z12" s="485"/>
      <c r="AA12" s="486"/>
      <c r="AB12" s="67"/>
    </row>
    <row r="13" spans="1:43">
      <c r="B13" s="363" t="s">
        <v>78</v>
      </c>
      <c r="C13" s="364" t="s">
        <v>66</v>
      </c>
      <c r="D13" s="364" t="s">
        <v>66</v>
      </c>
      <c r="E13" s="365" t="s">
        <v>66</v>
      </c>
      <c r="F13" s="487">
        <f>Annahmen!F58</f>
        <v>52</v>
      </c>
      <c r="G13" s="488"/>
      <c r="H13" s="488"/>
      <c r="I13" s="488"/>
      <c r="J13" s="488"/>
      <c r="K13" s="489"/>
      <c r="L13" s="81"/>
      <c r="R13" s="363" t="s">
        <v>78</v>
      </c>
      <c r="S13" s="364" t="s">
        <v>66</v>
      </c>
      <c r="T13" s="364" t="s">
        <v>66</v>
      </c>
      <c r="U13" s="365" t="s">
        <v>66</v>
      </c>
      <c r="V13" s="487">
        <f>Annahmen!F58</f>
        <v>52</v>
      </c>
      <c r="W13" s="488"/>
      <c r="X13" s="488"/>
      <c r="Y13" s="488"/>
      <c r="Z13" s="488"/>
      <c r="AA13" s="489"/>
      <c r="AB13" s="81"/>
      <c r="AN13" s="36"/>
      <c r="AO13" s="36"/>
      <c r="AP13" s="36"/>
      <c r="AQ13" s="36"/>
    </row>
    <row r="14" spans="1:43">
      <c r="B14" s="363" t="s">
        <v>134</v>
      </c>
      <c r="C14" s="364"/>
      <c r="D14" s="364"/>
      <c r="E14" s="365"/>
      <c r="F14" s="478">
        <f>F13*F12*F11</f>
        <v>2080</v>
      </c>
      <c r="G14" s="479"/>
      <c r="H14" s="479"/>
      <c r="I14" s="479"/>
      <c r="J14" s="479"/>
      <c r="K14" s="480"/>
      <c r="L14" s="81"/>
      <c r="R14" s="363" t="s">
        <v>134</v>
      </c>
      <c r="S14" s="364"/>
      <c r="T14" s="364"/>
      <c r="U14" s="365"/>
      <c r="V14" s="478">
        <f>V13*V12*V11</f>
        <v>2080</v>
      </c>
      <c r="W14" s="479"/>
      <c r="X14" s="479"/>
      <c r="Y14" s="479"/>
      <c r="Z14" s="479"/>
      <c r="AA14" s="480"/>
      <c r="AB14" s="81"/>
      <c r="AN14" s="36"/>
      <c r="AO14" s="36"/>
      <c r="AP14" s="36"/>
      <c r="AQ14" s="36"/>
    </row>
    <row r="15" spans="1:43">
      <c r="B15" s="363" t="s">
        <v>141</v>
      </c>
      <c r="C15" s="364" t="s">
        <v>67</v>
      </c>
      <c r="D15" s="364" t="s">
        <v>67</v>
      </c>
      <c r="E15" s="365" t="s">
        <v>67</v>
      </c>
      <c r="F15" s="478">
        <f>SUM('Betriebs- &amp; Wartungskosten'!G28:G32)</f>
        <v>11527.008000000002</v>
      </c>
      <c r="G15" s="479"/>
      <c r="H15" s="479"/>
      <c r="I15" s="479"/>
      <c r="J15" s="479"/>
      <c r="K15" s="480"/>
      <c r="L15" s="81"/>
      <c r="R15" s="363" t="s">
        <v>141</v>
      </c>
      <c r="S15" s="364" t="s">
        <v>67</v>
      </c>
      <c r="T15" s="364" t="s">
        <v>67</v>
      </c>
      <c r="U15" s="365" t="s">
        <v>67</v>
      </c>
      <c r="V15" s="478">
        <f>SUM('Betriebs- &amp; Wartungskosten'!Q28:Q32)</f>
        <v>13729.9138</v>
      </c>
      <c r="W15" s="479"/>
      <c r="X15" s="479"/>
      <c r="Y15" s="479"/>
      <c r="Z15" s="479"/>
      <c r="AA15" s="480"/>
      <c r="AB15" s="81"/>
      <c r="AM15" s="208"/>
      <c r="AN15" s="36"/>
      <c r="AO15" s="36"/>
      <c r="AP15" s="36"/>
      <c r="AQ15" s="36"/>
    </row>
    <row r="16" spans="1:43">
      <c r="B16" s="363" t="s">
        <v>135</v>
      </c>
      <c r="C16" s="364" t="s">
        <v>67</v>
      </c>
      <c r="D16" s="364" t="s">
        <v>67</v>
      </c>
      <c r="E16" s="365" t="s">
        <v>67</v>
      </c>
      <c r="F16" s="478">
        <f>ROUNDUP(F15/F14,0)</f>
        <v>6</v>
      </c>
      <c r="G16" s="479"/>
      <c r="H16" s="479"/>
      <c r="I16" s="479"/>
      <c r="J16" s="479"/>
      <c r="K16" s="480"/>
      <c r="L16" s="81"/>
      <c r="R16" s="363" t="s">
        <v>135</v>
      </c>
      <c r="S16" s="364" t="s">
        <v>67</v>
      </c>
      <c r="T16" s="364" t="s">
        <v>67</v>
      </c>
      <c r="U16" s="365" t="s">
        <v>67</v>
      </c>
      <c r="V16" s="478">
        <f>ROUNDUP(V15/V14,0)</f>
        <v>7</v>
      </c>
      <c r="W16" s="479"/>
      <c r="X16" s="479"/>
      <c r="Y16" s="479"/>
      <c r="Z16" s="479"/>
      <c r="AA16" s="480"/>
      <c r="AB16" s="81"/>
      <c r="AM16" s="208"/>
      <c r="AN16" s="36"/>
      <c r="AO16" s="36"/>
      <c r="AP16" s="36"/>
      <c r="AQ16" s="36"/>
    </row>
    <row r="17" spans="2:43">
      <c r="AM17" s="208"/>
      <c r="AN17" s="36"/>
      <c r="AO17" s="36"/>
      <c r="AP17" s="36"/>
      <c r="AQ17" s="36"/>
    </row>
    <row r="18" spans="2:43">
      <c r="AM18" s="208"/>
      <c r="AN18" s="36"/>
      <c r="AO18" s="36"/>
      <c r="AP18" s="36"/>
      <c r="AQ18" s="36"/>
    </row>
    <row r="19" spans="2:43" ht="15.75">
      <c r="B19" s="378" t="s">
        <v>85</v>
      </c>
      <c r="C19" s="379"/>
      <c r="D19" s="379"/>
      <c r="E19" s="380"/>
      <c r="F19" s="393" t="s">
        <v>125</v>
      </c>
      <c r="G19" s="396" t="s">
        <v>84</v>
      </c>
      <c r="H19" s="399" t="s">
        <v>132</v>
      </c>
      <c r="I19" s="400"/>
      <c r="J19" s="400"/>
      <c r="K19" s="400"/>
      <c r="L19" s="400"/>
      <c r="M19" s="400"/>
      <c r="N19" s="400"/>
      <c r="O19" s="401"/>
      <c r="R19" s="469" t="s">
        <v>85</v>
      </c>
      <c r="S19" s="470"/>
      <c r="T19" s="470"/>
      <c r="U19" s="471"/>
      <c r="V19" s="393" t="s">
        <v>125</v>
      </c>
      <c r="W19" s="396" t="s">
        <v>84</v>
      </c>
      <c r="X19" s="399" t="s">
        <v>132</v>
      </c>
      <c r="Y19" s="400"/>
      <c r="Z19" s="400"/>
      <c r="AA19" s="400"/>
      <c r="AB19" s="400"/>
      <c r="AC19" s="400"/>
      <c r="AD19" s="400"/>
      <c r="AE19" s="401"/>
      <c r="AM19" s="208"/>
      <c r="AN19" s="457"/>
      <c r="AO19" s="457"/>
      <c r="AP19" s="457"/>
      <c r="AQ19" s="457"/>
    </row>
    <row r="20" spans="2:43" ht="15.75">
      <c r="B20" s="381"/>
      <c r="C20" s="382"/>
      <c r="D20" s="382"/>
      <c r="E20" s="383"/>
      <c r="F20" s="394"/>
      <c r="G20" s="397"/>
      <c r="H20" s="402" t="s">
        <v>5</v>
      </c>
      <c r="I20" s="403"/>
      <c r="J20" s="404" t="s">
        <v>122</v>
      </c>
      <c r="K20" s="403"/>
      <c r="L20" s="405" t="s">
        <v>123</v>
      </c>
      <c r="M20" s="406"/>
      <c r="N20" s="405" t="s">
        <v>124</v>
      </c>
      <c r="O20" s="406"/>
      <c r="R20" s="472"/>
      <c r="S20" s="473"/>
      <c r="T20" s="473"/>
      <c r="U20" s="474"/>
      <c r="V20" s="394"/>
      <c r="W20" s="397"/>
      <c r="X20" s="402" t="s">
        <v>6</v>
      </c>
      <c r="Y20" s="403"/>
      <c r="Z20" s="404" t="s">
        <v>122</v>
      </c>
      <c r="AA20" s="403"/>
      <c r="AB20" s="405" t="s">
        <v>123</v>
      </c>
      <c r="AC20" s="406"/>
      <c r="AD20" s="405" t="s">
        <v>124</v>
      </c>
      <c r="AE20" s="406"/>
      <c r="AM20" s="208"/>
      <c r="AN20" s="117"/>
      <c r="AO20" s="117"/>
      <c r="AP20" s="117"/>
      <c r="AQ20" s="117"/>
    </row>
    <row r="21" spans="2:43" ht="15.75" thickBot="1">
      <c r="B21" s="384"/>
      <c r="C21" s="385"/>
      <c r="D21" s="385"/>
      <c r="E21" s="386"/>
      <c r="F21" s="395"/>
      <c r="G21" s="398"/>
      <c r="H21" s="153" t="s">
        <v>130</v>
      </c>
      <c r="I21" s="83" t="s">
        <v>131</v>
      </c>
      <c r="J21" s="84" t="s">
        <v>130</v>
      </c>
      <c r="K21" s="54" t="s">
        <v>131</v>
      </c>
      <c r="L21" s="84" t="s">
        <v>130</v>
      </c>
      <c r="M21" s="54" t="s">
        <v>131</v>
      </c>
      <c r="N21" s="84" t="s">
        <v>130</v>
      </c>
      <c r="O21" s="54" t="s">
        <v>131</v>
      </c>
      <c r="R21" s="475"/>
      <c r="S21" s="476"/>
      <c r="T21" s="476"/>
      <c r="U21" s="477"/>
      <c r="V21" s="395"/>
      <c r="W21" s="398"/>
      <c r="X21" s="153" t="s">
        <v>130</v>
      </c>
      <c r="Y21" s="83" t="s">
        <v>131</v>
      </c>
      <c r="Z21" s="84" t="s">
        <v>130</v>
      </c>
      <c r="AA21" s="54" t="s">
        <v>131</v>
      </c>
      <c r="AB21" s="84" t="s">
        <v>130</v>
      </c>
      <c r="AC21" s="54" t="s">
        <v>131</v>
      </c>
      <c r="AD21" s="84" t="s">
        <v>130</v>
      </c>
      <c r="AE21" s="54" t="s">
        <v>131</v>
      </c>
      <c r="AM21" s="208"/>
      <c r="AN21" s="148"/>
      <c r="AO21" s="148"/>
      <c r="AP21" s="148"/>
      <c r="AQ21" s="148"/>
    </row>
    <row r="22" spans="2:43">
      <c r="B22" s="387" t="s">
        <v>192</v>
      </c>
      <c r="C22" s="388"/>
      <c r="D22" s="388"/>
      <c r="E22" s="389"/>
      <c r="F22" s="155">
        <f>Annahmen!F68</f>
        <v>0.72</v>
      </c>
      <c r="G22" s="156">
        <f>Annahmen!G68</f>
        <v>0</v>
      </c>
      <c r="H22" s="157">
        <f>Annahmen!H68</f>
        <v>1</v>
      </c>
      <c r="I22" s="158">
        <f>Annahmen!I68</f>
        <v>0.8</v>
      </c>
      <c r="J22" s="159">
        <f>Annahmen!J68</f>
        <v>0</v>
      </c>
      <c r="K22" s="158">
        <f>Annahmen!K68</f>
        <v>0.05</v>
      </c>
      <c r="L22" s="159">
        <f>Annahmen!L68</f>
        <v>0</v>
      </c>
      <c r="M22" s="158">
        <f>Annahmen!M68</f>
        <v>0.05</v>
      </c>
      <c r="N22" s="159">
        <f>Annahmen!N68</f>
        <v>0</v>
      </c>
      <c r="O22" s="158">
        <f>Annahmen!O68</f>
        <v>0.05</v>
      </c>
      <c r="R22" s="387" t="s">
        <v>192</v>
      </c>
      <c r="S22" s="388"/>
      <c r="T22" s="388"/>
      <c r="U22" s="389"/>
      <c r="V22" s="155">
        <f>Annahmen!F91</f>
        <v>0.72</v>
      </c>
      <c r="W22" s="156">
        <f>Annahmen!G91</f>
        <v>0</v>
      </c>
      <c r="X22" s="157">
        <f>Annahmen!H91</f>
        <v>1</v>
      </c>
      <c r="Y22" s="158">
        <f>Annahmen!I91</f>
        <v>0.95</v>
      </c>
      <c r="Z22" s="159">
        <f>Annahmen!J91</f>
        <v>0</v>
      </c>
      <c r="AA22" s="158">
        <f>Annahmen!K91</f>
        <v>0.02</v>
      </c>
      <c r="AB22" s="159">
        <f>Annahmen!L91</f>
        <v>0</v>
      </c>
      <c r="AC22" s="158">
        <f>Annahmen!M91</f>
        <v>0.02</v>
      </c>
      <c r="AD22" s="159">
        <f>Annahmen!N91</f>
        <v>0</v>
      </c>
      <c r="AE22" s="158">
        <f>Annahmen!O91</f>
        <v>0.02</v>
      </c>
      <c r="AM22" s="208"/>
      <c r="AN22" s="62"/>
      <c r="AO22" s="62"/>
      <c r="AP22" s="62"/>
      <c r="AQ22" s="62"/>
    </row>
    <row r="23" spans="2:43">
      <c r="B23" s="390" t="s">
        <v>190</v>
      </c>
      <c r="C23" s="391"/>
      <c r="D23" s="391"/>
      <c r="E23" s="392"/>
      <c r="F23" s="160">
        <f>Annahmen!F69</f>
        <v>0.14000000000000001</v>
      </c>
      <c r="G23" s="161">
        <f>Annahmen!G69</f>
        <v>4.5</v>
      </c>
      <c r="H23" s="162">
        <f>Annahmen!H69</f>
        <v>1</v>
      </c>
      <c r="I23" s="158">
        <f>Annahmen!I69</f>
        <v>0.8</v>
      </c>
      <c r="J23" s="159">
        <f>Annahmen!J69</f>
        <v>0</v>
      </c>
      <c r="K23" s="158">
        <f>Annahmen!K69</f>
        <v>0.05</v>
      </c>
      <c r="L23" s="159">
        <f>Annahmen!L69</f>
        <v>0</v>
      </c>
      <c r="M23" s="158">
        <f>Annahmen!M69</f>
        <v>0.05</v>
      </c>
      <c r="N23" s="159">
        <f>Annahmen!N69</f>
        <v>0</v>
      </c>
      <c r="O23" s="158">
        <f>Annahmen!O69</f>
        <v>0.05</v>
      </c>
      <c r="R23" s="390" t="s">
        <v>190</v>
      </c>
      <c r="S23" s="391"/>
      <c r="T23" s="391"/>
      <c r="U23" s="392"/>
      <c r="V23" s="160">
        <f>Annahmen!F92</f>
        <v>0.14000000000000001</v>
      </c>
      <c r="W23" s="161">
        <f>Annahmen!G92</f>
        <v>4.5</v>
      </c>
      <c r="X23" s="162">
        <f>Annahmen!H92</f>
        <v>1</v>
      </c>
      <c r="Y23" s="158">
        <f>Annahmen!I92</f>
        <v>0.95</v>
      </c>
      <c r="Z23" s="159">
        <f>Annahmen!J92</f>
        <v>0</v>
      </c>
      <c r="AA23" s="158">
        <f>Annahmen!K92</f>
        <v>0.02</v>
      </c>
      <c r="AB23" s="159">
        <f>Annahmen!L92</f>
        <v>0</v>
      </c>
      <c r="AC23" s="158">
        <f>Annahmen!M92</f>
        <v>0.02</v>
      </c>
      <c r="AD23" s="159">
        <f>Annahmen!N92</f>
        <v>0</v>
      </c>
      <c r="AE23" s="158">
        <f>Annahmen!O92</f>
        <v>0.02</v>
      </c>
      <c r="AM23" s="208"/>
      <c r="AN23" s="62"/>
      <c r="AO23" s="62"/>
      <c r="AP23" s="62"/>
      <c r="AQ23" s="62"/>
    </row>
    <row r="24" spans="2:43">
      <c r="B24" s="363" t="s">
        <v>191</v>
      </c>
      <c r="C24" s="364"/>
      <c r="D24" s="364"/>
      <c r="E24" s="365"/>
      <c r="F24" s="163">
        <f>Annahmen!F70</f>
        <v>4.4999999999999998E-2</v>
      </c>
      <c r="G24" s="164">
        <f>Annahmen!G70</f>
        <v>7.5999999999999998E-2</v>
      </c>
      <c r="H24" s="165">
        <f>Annahmen!H70</f>
        <v>1</v>
      </c>
      <c r="I24" s="158">
        <f>Annahmen!I70</f>
        <v>0.8</v>
      </c>
      <c r="J24" s="159">
        <f>Annahmen!J70</f>
        <v>0</v>
      </c>
      <c r="K24" s="158">
        <f>Annahmen!K70</f>
        <v>0.05</v>
      </c>
      <c r="L24" s="159">
        <f>Annahmen!L70</f>
        <v>0</v>
      </c>
      <c r="M24" s="158">
        <f>Annahmen!M70</f>
        <v>0.05</v>
      </c>
      <c r="N24" s="159">
        <f>Annahmen!N70</f>
        <v>0</v>
      </c>
      <c r="O24" s="158">
        <f>Annahmen!O70</f>
        <v>0.05</v>
      </c>
      <c r="R24" s="363" t="s">
        <v>191</v>
      </c>
      <c r="S24" s="364"/>
      <c r="T24" s="364"/>
      <c r="U24" s="365"/>
      <c r="V24" s="163">
        <f>Annahmen!F93</f>
        <v>4.4999999999999998E-2</v>
      </c>
      <c r="W24" s="164">
        <f>Annahmen!G93</f>
        <v>7.5999999999999998E-2</v>
      </c>
      <c r="X24" s="165">
        <f>Annahmen!H93</f>
        <v>1</v>
      </c>
      <c r="Y24" s="158">
        <f>Annahmen!I93</f>
        <v>0.95</v>
      </c>
      <c r="Z24" s="159">
        <f>Annahmen!J93</f>
        <v>0</v>
      </c>
      <c r="AA24" s="158">
        <f>Annahmen!K93</f>
        <v>0.02</v>
      </c>
      <c r="AB24" s="159">
        <f>Annahmen!L93</f>
        <v>0</v>
      </c>
      <c r="AC24" s="158">
        <f>Annahmen!M93</f>
        <v>0.02</v>
      </c>
      <c r="AD24" s="159">
        <f>Annahmen!N93</f>
        <v>0</v>
      </c>
      <c r="AE24" s="158">
        <f>Annahmen!O93</f>
        <v>0.02</v>
      </c>
      <c r="AM24" s="208"/>
      <c r="AN24" s="62"/>
      <c r="AO24" s="62"/>
      <c r="AP24" s="62"/>
      <c r="AQ24" s="62"/>
    </row>
    <row r="25" spans="2:43">
      <c r="B25" s="363" t="s">
        <v>193</v>
      </c>
      <c r="C25" s="364"/>
      <c r="D25" s="364"/>
      <c r="E25" s="365"/>
      <c r="F25" s="166">
        <f>Annahmen!F71</f>
        <v>2.8000000000000001E-2</v>
      </c>
      <c r="G25" s="161">
        <f>Annahmen!G71</f>
        <v>1.35</v>
      </c>
      <c r="H25" s="162">
        <f>Annahmen!H71</f>
        <v>1</v>
      </c>
      <c r="I25" s="158">
        <f>Annahmen!I71</f>
        <v>0.8</v>
      </c>
      <c r="J25" s="159">
        <f>Annahmen!J71</f>
        <v>0</v>
      </c>
      <c r="K25" s="158">
        <f>Annahmen!K71</f>
        <v>0.05</v>
      </c>
      <c r="L25" s="159">
        <f>Annahmen!L71</f>
        <v>0</v>
      </c>
      <c r="M25" s="158">
        <f>Annahmen!M71</f>
        <v>0.05</v>
      </c>
      <c r="N25" s="159">
        <f>Annahmen!N71</f>
        <v>0</v>
      </c>
      <c r="O25" s="158">
        <f>Annahmen!O71</f>
        <v>0.05</v>
      </c>
      <c r="R25" s="363" t="s">
        <v>193</v>
      </c>
      <c r="S25" s="364"/>
      <c r="T25" s="364"/>
      <c r="U25" s="365"/>
      <c r="V25" s="166">
        <f>Annahmen!F94</f>
        <v>2.8000000000000001E-2</v>
      </c>
      <c r="W25" s="161">
        <f>Annahmen!G94</f>
        <v>1.35</v>
      </c>
      <c r="X25" s="162">
        <f>Annahmen!H94</f>
        <v>1</v>
      </c>
      <c r="Y25" s="158">
        <f>Annahmen!I94</f>
        <v>0.95</v>
      </c>
      <c r="Z25" s="159">
        <f>Annahmen!J94</f>
        <v>0</v>
      </c>
      <c r="AA25" s="158">
        <f>Annahmen!K94</f>
        <v>0.02</v>
      </c>
      <c r="AB25" s="159">
        <f>Annahmen!L94</f>
        <v>0</v>
      </c>
      <c r="AC25" s="158">
        <f>Annahmen!M94</f>
        <v>0.02</v>
      </c>
      <c r="AD25" s="159">
        <f>Annahmen!N94</f>
        <v>0</v>
      </c>
      <c r="AE25" s="158">
        <f>Annahmen!O94</f>
        <v>0.02</v>
      </c>
      <c r="AM25" s="208"/>
      <c r="AN25" s="62"/>
      <c r="AO25" s="62"/>
      <c r="AP25" s="62"/>
      <c r="AQ25" s="62"/>
    </row>
    <row r="26" spans="2:43">
      <c r="B26" s="363" t="s">
        <v>194</v>
      </c>
      <c r="C26" s="364"/>
      <c r="D26" s="364"/>
      <c r="E26" s="365"/>
      <c r="F26" s="160">
        <f>Annahmen!F72</f>
        <v>2.1999999999999999E-2</v>
      </c>
      <c r="G26" s="164">
        <f>Annahmen!G72</f>
        <v>1.53</v>
      </c>
      <c r="H26" s="167">
        <f>Annahmen!H72</f>
        <v>1</v>
      </c>
      <c r="I26" s="158">
        <f>Annahmen!I72</f>
        <v>0.8</v>
      </c>
      <c r="J26" s="159">
        <f>Annahmen!J72</f>
        <v>0</v>
      </c>
      <c r="K26" s="158">
        <f>Annahmen!K72</f>
        <v>0.05</v>
      </c>
      <c r="L26" s="159">
        <f>Annahmen!L72</f>
        <v>0</v>
      </c>
      <c r="M26" s="158">
        <f>Annahmen!M72</f>
        <v>0.05</v>
      </c>
      <c r="N26" s="159">
        <f>Annahmen!N72</f>
        <v>0</v>
      </c>
      <c r="O26" s="158">
        <f>Annahmen!O72</f>
        <v>0.05</v>
      </c>
      <c r="R26" s="363" t="s">
        <v>194</v>
      </c>
      <c r="S26" s="364"/>
      <c r="T26" s="364"/>
      <c r="U26" s="365"/>
      <c r="V26" s="160">
        <f>Annahmen!F95</f>
        <v>2.1999999999999999E-2</v>
      </c>
      <c r="W26" s="164">
        <f>Annahmen!G95</f>
        <v>1.53</v>
      </c>
      <c r="X26" s="167">
        <f>Annahmen!H95</f>
        <v>1</v>
      </c>
      <c r="Y26" s="158">
        <f>Annahmen!I95</f>
        <v>0.95</v>
      </c>
      <c r="Z26" s="159">
        <f>Annahmen!J95</f>
        <v>0</v>
      </c>
      <c r="AA26" s="158">
        <f>Annahmen!K95</f>
        <v>0.02</v>
      </c>
      <c r="AB26" s="159">
        <f>Annahmen!L95</f>
        <v>0</v>
      </c>
      <c r="AC26" s="158">
        <f>Annahmen!M95</f>
        <v>0.02</v>
      </c>
      <c r="AD26" s="159">
        <f>Annahmen!N95</f>
        <v>0</v>
      </c>
      <c r="AE26" s="158">
        <f>Annahmen!O95</f>
        <v>0.02</v>
      </c>
      <c r="AM26" s="208"/>
      <c r="AN26" s="62"/>
      <c r="AO26" s="62"/>
      <c r="AP26" s="62"/>
      <c r="AQ26" s="62"/>
    </row>
    <row r="27" spans="2:43">
      <c r="B27" s="363" t="s">
        <v>195</v>
      </c>
      <c r="C27" s="364"/>
      <c r="D27" s="364"/>
      <c r="E27" s="365"/>
      <c r="F27" s="166">
        <f>Annahmen!F73</f>
        <v>0.02</v>
      </c>
      <c r="G27" s="161">
        <f>Annahmen!G73</f>
        <v>13.8</v>
      </c>
      <c r="H27" s="165">
        <f>Annahmen!H73</f>
        <v>1</v>
      </c>
      <c r="I27" s="158">
        <f>Annahmen!I73</f>
        <v>0.8</v>
      </c>
      <c r="J27" s="159">
        <f>Annahmen!J73</f>
        <v>0</v>
      </c>
      <c r="K27" s="158">
        <f>Annahmen!K73</f>
        <v>0.05</v>
      </c>
      <c r="L27" s="159">
        <f>Annahmen!L73</f>
        <v>0</v>
      </c>
      <c r="M27" s="158">
        <f>Annahmen!M73</f>
        <v>0.05</v>
      </c>
      <c r="N27" s="159">
        <f>Annahmen!N73</f>
        <v>0</v>
      </c>
      <c r="O27" s="158">
        <f>Annahmen!O73</f>
        <v>0.05</v>
      </c>
      <c r="R27" s="363" t="s">
        <v>195</v>
      </c>
      <c r="S27" s="364"/>
      <c r="T27" s="364"/>
      <c r="U27" s="365"/>
      <c r="V27" s="166">
        <f>Annahmen!F96</f>
        <v>0.02</v>
      </c>
      <c r="W27" s="161">
        <f>Annahmen!G96</f>
        <v>13.8</v>
      </c>
      <c r="X27" s="165">
        <f>Annahmen!H96</f>
        <v>1</v>
      </c>
      <c r="Y27" s="158">
        <f>Annahmen!I96</f>
        <v>0.95</v>
      </c>
      <c r="Z27" s="159">
        <f>Annahmen!J96</f>
        <v>0</v>
      </c>
      <c r="AA27" s="158">
        <f>Annahmen!K96</f>
        <v>0.02</v>
      </c>
      <c r="AB27" s="159">
        <f>Annahmen!L96</f>
        <v>0</v>
      </c>
      <c r="AC27" s="158">
        <f>Annahmen!M96</f>
        <v>0.02</v>
      </c>
      <c r="AD27" s="159">
        <f>Annahmen!N96</f>
        <v>0</v>
      </c>
      <c r="AE27" s="158">
        <f>Annahmen!O96</f>
        <v>0.02</v>
      </c>
      <c r="AM27" s="208"/>
      <c r="AN27" s="62"/>
      <c r="AO27" s="62"/>
      <c r="AP27" s="62"/>
      <c r="AQ27" s="62"/>
    </row>
    <row r="28" spans="2:43">
      <c r="B28" s="363" t="s">
        <v>196</v>
      </c>
      <c r="C28" s="364"/>
      <c r="D28" s="364"/>
      <c r="E28" s="365"/>
      <c r="F28" s="163">
        <f>Annahmen!F74</f>
        <v>1.0999999999999999E-2</v>
      </c>
      <c r="G28" s="161">
        <f>Annahmen!G74</f>
        <v>10.5</v>
      </c>
      <c r="H28" s="162">
        <f>Annahmen!H74</f>
        <v>1</v>
      </c>
      <c r="I28" s="158">
        <f>Annahmen!I74</f>
        <v>0.8</v>
      </c>
      <c r="J28" s="159">
        <f>Annahmen!J74</f>
        <v>0</v>
      </c>
      <c r="K28" s="158">
        <f>Annahmen!K74</f>
        <v>0.05</v>
      </c>
      <c r="L28" s="159">
        <f>Annahmen!L74</f>
        <v>0</v>
      </c>
      <c r="M28" s="158">
        <f>Annahmen!M74</f>
        <v>0.05</v>
      </c>
      <c r="N28" s="159">
        <f>Annahmen!N74</f>
        <v>0</v>
      </c>
      <c r="O28" s="158">
        <f>Annahmen!O74</f>
        <v>0.05</v>
      </c>
      <c r="R28" s="363" t="s">
        <v>196</v>
      </c>
      <c r="S28" s="364"/>
      <c r="T28" s="364"/>
      <c r="U28" s="365"/>
      <c r="V28" s="163">
        <f>Annahmen!F97</f>
        <v>1.0999999999999999E-2</v>
      </c>
      <c r="W28" s="161">
        <f>Annahmen!G97</f>
        <v>10.5</v>
      </c>
      <c r="X28" s="162">
        <f>Annahmen!H97</f>
        <v>1</v>
      </c>
      <c r="Y28" s="158">
        <f>Annahmen!I97</f>
        <v>0.95</v>
      </c>
      <c r="Z28" s="159">
        <f>Annahmen!J97</f>
        <v>0</v>
      </c>
      <c r="AA28" s="158">
        <f>Annahmen!K97</f>
        <v>0.02</v>
      </c>
      <c r="AB28" s="159">
        <f>Annahmen!L97</f>
        <v>0</v>
      </c>
      <c r="AC28" s="158">
        <f>Annahmen!M97</f>
        <v>0.02</v>
      </c>
      <c r="AD28" s="159">
        <f>Annahmen!N97</f>
        <v>0</v>
      </c>
      <c r="AE28" s="158">
        <f>Annahmen!O97</f>
        <v>0.02</v>
      </c>
      <c r="AM28" s="208"/>
      <c r="AN28" s="62"/>
      <c r="AO28" s="62"/>
      <c r="AP28" s="62"/>
      <c r="AQ28" s="62"/>
    </row>
    <row r="29" spans="2:43">
      <c r="B29" s="366" t="s">
        <v>197</v>
      </c>
      <c r="C29" s="367"/>
      <c r="D29" s="367"/>
      <c r="E29" s="368"/>
      <c r="F29" s="168">
        <f>Annahmen!F75</f>
        <v>4.0000000000000001E-3</v>
      </c>
      <c r="G29" s="161">
        <f>Annahmen!G75</f>
        <v>5500</v>
      </c>
      <c r="H29" s="165">
        <f>Annahmen!H75</f>
        <v>1</v>
      </c>
      <c r="I29" s="169">
        <f>Annahmen!I75</f>
        <v>0.8</v>
      </c>
      <c r="J29" s="170">
        <f>Annahmen!J75</f>
        <v>1</v>
      </c>
      <c r="K29" s="169">
        <f>Annahmen!K75</f>
        <v>0.8</v>
      </c>
      <c r="L29" s="170">
        <f>Annahmen!L75</f>
        <v>1</v>
      </c>
      <c r="M29" s="169">
        <f>Annahmen!M75</f>
        <v>0.8</v>
      </c>
      <c r="N29" s="170">
        <f>Annahmen!N75</f>
        <v>1</v>
      </c>
      <c r="O29" s="169">
        <f>Annahmen!O75</f>
        <v>0.8</v>
      </c>
      <c r="R29" s="366" t="s">
        <v>197</v>
      </c>
      <c r="S29" s="367"/>
      <c r="T29" s="367"/>
      <c r="U29" s="368"/>
      <c r="V29" s="168">
        <f>Annahmen!F98</f>
        <v>4.0000000000000001E-3</v>
      </c>
      <c r="W29" s="161">
        <f>Annahmen!G98</f>
        <v>5500</v>
      </c>
      <c r="X29" s="165">
        <f>Annahmen!H98</f>
        <v>1</v>
      </c>
      <c r="Y29" s="169">
        <f>Annahmen!I98</f>
        <v>0.95</v>
      </c>
      <c r="Z29" s="170">
        <f>Annahmen!J98</f>
        <v>1</v>
      </c>
      <c r="AA29" s="169">
        <f>Annahmen!K98</f>
        <v>0.9</v>
      </c>
      <c r="AB29" s="170">
        <f>Annahmen!L98</f>
        <v>1</v>
      </c>
      <c r="AC29" s="169">
        <f>Annahmen!M98</f>
        <v>0.9</v>
      </c>
      <c r="AD29" s="170">
        <f>Annahmen!N98</f>
        <v>1</v>
      </c>
      <c r="AE29" s="169">
        <f>Annahmen!O98</f>
        <v>0.9</v>
      </c>
      <c r="AM29" s="208"/>
      <c r="AN29" s="62"/>
      <c r="AO29" s="62"/>
      <c r="AP29" s="62"/>
      <c r="AQ29" s="62"/>
    </row>
    <row r="30" spans="2:43">
      <c r="B30" s="363" t="s">
        <v>198</v>
      </c>
      <c r="C30" s="364"/>
      <c r="D30" s="364"/>
      <c r="E30" s="365"/>
      <c r="F30" s="166">
        <f>Annahmen!F76</f>
        <v>4.0000000000000001E-3</v>
      </c>
      <c r="G30" s="161">
        <f>Annahmen!G76</f>
        <v>1.7</v>
      </c>
      <c r="H30" s="165">
        <f>Annahmen!H76</f>
        <v>1</v>
      </c>
      <c r="I30" s="169">
        <f>Annahmen!I76</f>
        <v>0.8</v>
      </c>
      <c r="J30" s="159">
        <f>Annahmen!J76</f>
        <v>0</v>
      </c>
      <c r="K30" s="158">
        <f>Annahmen!K76</f>
        <v>0.05</v>
      </c>
      <c r="L30" s="159">
        <f>Annahmen!L76</f>
        <v>0</v>
      </c>
      <c r="M30" s="158">
        <f>Annahmen!M76</f>
        <v>0.05</v>
      </c>
      <c r="N30" s="159">
        <f>Annahmen!N76</f>
        <v>0</v>
      </c>
      <c r="O30" s="158">
        <f>Annahmen!O76</f>
        <v>0.05</v>
      </c>
      <c r="R30" s="363" t="s">
        <v>198</v>
      </c>
      <c r="S30" s="364"/>
      <c r="T30" s="364"/>
      <c r="U30" s="365"/>
      <c r="V30" s="166">
        <f>Annahmen!F99</f>
        <v>4.0000000000000001E-3</v>
      </c>
      <c r="W30" s="161">
        <f>Annahmen!G99</f>
        <v>1.7</v>
      </c>
      <c r="X30" s="165">
        <f>Annahmen!H99</f>
        <v>1</v>
      </c>
      <c r="Y30" s="169">
        <f>Annahmen!I99</f>
        <v>0.95</v>
      </c>
      <c r="Z30" s="159">
        <f>Annahmen!J99</f>
        <v>0</v>
      </c>
      <c r="AA30" s="158">
        <f>Annahmen!K99</f>
        <v>0.02</v>
      </c>
      <c r="AB30" s="159">
        <f>Annahmen!L99</f>
        <v>0</v>
      </c>
      <c r="AC30" s="158">
        <f>Annahmen!M99</f>
        <v>0.02</v>
      </c>
      <c r="AD30" s="159">
        <f>Annahmen!N99</f>
        <v>0</v>
      </c>
      <c r="AE30" s="158">
        <f>Annahmen!O99</f>
        <v>0.02</v>
      </c>
      <c r="AM30" s="208"/>
      <c r="AN30" s="62"/>
      <c r="AO30" s="62"/>
      <c r="AP30" s="62"/>
      <c r="AQ30" s="62"/>
    </row>
    <row r="31" spans="2:43">
      <c r="B31" s="363" t="s">
        <v>199</v>
      </c>
      <c r="C31" s="364"/>
      <c r="D31" s="364"/>
      <c r="E31" s="365"/>
      <c r="F31" s="171">
        <f>Annahmen!F77</f>
        <v>5.9999999999999995E-4</v>
      </c>
      <c r="G31" s="161">
        <f>Annahmen!G77</f>
        <v>460</v>
      </c>
      <c r="H31" s="165">
        <f>Annahmen!H77</f>
        <v>1</v>
      </c>
      <c r="I31" s="169">
        <f>Annahmen!I77</f>
        <v>0.8</v>
      </c>
      <c r="J31" s="159">
        <f>Annahmen!J77</f>
        <v>0</v>
      </c>
      <c r="K31" s="158">
        <f>Annahmen!K77</f>
        <v>0.05</v>
      </c>
      <c r="L31" s="159">
        <f>Annahmen!L77</f>
        <v>0</v>
      </c>
      <c r="M31" s="158">
        <f>Annahmen!M77</f>
        <v>0.05</v>
      </c>
      <c r="N31" s="159">
        <f>Annahmen!N77</f>
        <v>0</v>
      </c>
      <c r="O31" s="158">
        <f>Annahmen!O77</f>
        <v>0.05</v>
      </c>
      <c r="R31" s="363" t="s">
        <v>199</v>
      </c>
      <c r="S31" s="364"/>
      <c r="T31" s="364"/>
      <c r="U31" s="365"/>
      <c r="V31" s="171">
        <f>Annahmen!F100</f>
        <v>5.9999999999999995E-4</v>
      </c>
      <c r="W31" s="161">
        <f>Annahmen!G100</f>
        <v>460</v>
      </c>
      <c r="X31" s="165">
        <f>Annahmen!H100</f>
        <v>1</v>
      </c>
      <c r="Y31" s="169">
        <f>Annahmen!I100</f>
        <v>0.95</v>
      </c>
      <c r="Z31" s="159">
        <f>Annahmen!J100</f>
        <v>0</v>
      </c>
      <c r="AA31" s="158">
        <f>Annahmen!K100</f>
        <v>0.02</v>
      </c>
      <c r="AB31" s="159">
        <f>Annahmen!L100</f>
        <v>0</v>
      </c>
      <c r="AC31" s="158">
        <f>Annahmen!M100</f>
        <v>0.02</v>
      </c>
      <c r="AD31" s="159">
        <f>Annahmen!N100</f>
        <v>0</v>
      </c>
      <c r="AE31" s="158">
        <f>Annahmen!O100</f>
        <v>0.02</v>
      </c>
      <c r="AM31" s="208"/>
      <c r="AN31" s="62"/>
      <c r="AO31" s="63"/>
      <c r="AP31" s="63"/>
      <c r="AQ31" s="63"/>
    </row>
    <row r="32" spans="2:43">
      <c r="B32" s="363" t="s">
        <v>200</v>
      </c>
      <c r="C32" s="364"/>
      <c r="D32" s="364"/>
      <c r="E32" s="365"/>
      <c r="F32" s="172">
        <f>Annahmen!F78</f>
        <v>5.9999999999999995E-4</v>
      </c>
      <c r="G32" s="161">
        <f>Annahmen!G78</f>
        <v>50000</v>
      </c>
      <c r="H32" s="165">
        <f>Annahmen!H78</f>
        <v>1</v>
      </c>
      <c r="I32" s="169">
        <f>Annahmen!I78</f>
        <v>0.8</v>
      </c>
      <c r="J32" s="159">
        <f>Annahmen!J78</f>
        <v>0</v>
      </c>
      <c r="K32" s="158">
        <f>Annahmen!K78</f>
        <v>0.05</v>
      </c>
      <c r="L32" s="159">
        <f>Annahmen!L78</f>
        <v>0</v>
      </c>
      <c r="M32" s="158">
        <f>Annahmen!M78</f>
        <v>0.05</v>
      </c>
      <c r="N32" s="159">
        <f>Annahmen!N78</f>
        <v>0</v>
      </c>
      <c r="O32" s="158">
        <f>Annahmen!O78</f>
        <v>0.05</v>
      </c>
      <c r="R32" s="363" t="s">
        <v>200</v>
      </c>
      <c r="S32" s="364"/>
      <c r="T32" s="364"/>
      <c r="U32" s="365"/>
      <c r="V32" s="172">
        <f>Annahmen!F101</f>
        <v>5.9999999999999995E-4</v>
      </c>
      <c r="W32" s="161">
        <f>Annahmen!G101</f>
        <v>50000</v>
      </c>
      <c r="X32" s="165">
        <f>Annahmen!H101</f>
        <v>1</v>
      </c>
      <c r="Y32" s="169">
        <f>Annahmen!I101</f>
        <v>0.95</v>
      </c>
      <c r="Z32" s="159">
        <f>Annahmen!J101</f>
        <v>0</v>
      </c>
      <c r="AA32" s="158">
        <f>Annahmen!K101</f>
        <v>0.02</v>
      </c>
      <c r="AB32" s="159">
        <f>Annahmen!L101</f>
        <v>0</v>
      </c>
      <c r="AC32" s="158">
        <f>Annahmen!M101</f>
        <v>0.02</v>
      </c>
      <c r="AD32" s="159">
        <f>Annahmen!N101</f>
        <v>0</v>
      </c>
      <c r="AE32" s="158">
        <f>Annahmen!O101</f>
        <v>0.02</v>
      </c>
      <c r="AM32" s="208"/>
      <c r="AN32" s="62"/>
      <c r="AO32" s="63"/>
      <c r="AP32" s="63"/>
      <c r="AQ32" s="63"/>
    </row>
    <row r="33" spans="2:43">
      <c r="B33" s="363" t="s">
        <v>201</v>
      </c>
      <c r="C33" s="364"/>
      <c r="D33" s="364"/>
      <c r="E33" s="365"/>
      <c r="F33" s="172">
        <f>Annahmen!F79</f>
        <v>4.0000000000000002E-4</v>
      </c>
      <c r="G33" s="161">
        <f>Annahmen!G79</f>
        <v>5000</v>
      </c>
      <c r="H33" s="165">
        <f>Annahmen!H79</f>
        <v>1</v>
      </c>
      <c r="I33" s="169">
        <f>Annahmen!I79</f>
        <v>0.8</v>
      </c>
      <c r="J33" s="159">
        <f>Annahmen!J79</f>
        <v>0</v>
      </c>
      <c r="K33" s="158">
        <f>Annahmen!K79</f>
        <v>0.05</v>
      </c>
      <c r="L33" s="159">
        <f>Annahmen!L79</f>
        <v>0</v>
      </c>
      <c r="M33" s="158">
        <f>Annahmen!M79</f>
        <v>0.05</v>
      </c>
      <c r="N33" s="159">
        <f>Annahmen!N79</f>
        <v>0</v>
      </c>
      <c r="O33" s="158">
        <f>Annahmen!O79</f>
        <v>0.05</v>
      </c>
      <c r="R33" s="363" t="s">
        <v>201</v>
      </c>
      <c r="S33" s="364"/>
      <c r="T33" s="364"/>
      <c r="U33" s="365"/>
      <c r="V33" s="172">
        <f>Annahmen!F102</f>
        <v>4.0000000000000002E-4</v>
      </c>
      <c r="W33" s="161">
        <f>Annahmen!G102</f>
        <v>5000</v>
      </c>
      <c r="X33" s="165">
        <f>Annahmen!H102</f>
        <v>1</v>
      </c>
      <c r="Y33" s="169">
        <f>Annahmen!I102</f>
        <v>0.95</v>
      </c>
      <c r="Z33" s="159">
        <f>Annahmen!J102</f>
        <v>0</v>
      </c>
      <c r="AA33" s="158">
        <f>Annahmen!K102</f>
        <v>0.02</v>
      </c>
      <c r="AB33" s="159">
        <f>Annahmen!L102</f>
        <v>0</v>
      </c>
      <c r="AC33" s="158">
        <f>Annahmen!M102</f>
        <v>0.02</v>
      </c>
      <c r="AD33" s="159">
        <f>Annahmen!N102</f>
        <v>0</v>
      </c>
      <c r="AE33" s="158">
        <f>Annahmen!O102</f>
        <v>0.02</v>
      </c>
      <c r="AM33" s="208"/>
      <c r="AN33" s="62"/>
      <c r="AO33" s="63"/>
      <c r="AP33" s="63"/>
      <c r="AQ33" s="63"/>
    </row>
    <row r="34" spans="2:43">
      <c r="B34" s="366" t="s">
        <v>202</v>
      </c>
      <c r="C34" s="367"/>
      <c r="D34" s="367"/>
      <c r="E34" s="368"/>
      <c r="F34" s="173">
        <f>Annahmen!F80</f>
        <v>2.0000000000000001E-4</v>
      </c>
      <c r="G34" s="161">
        <f>Annahmen!G80</f>
        <v>3180</v>
      </c>
      <c r="H34" s="165">
        <f>Annahmen!H80</f>
        <v>1</v>
      </c>
      <c r="I34" s="169">
        <f>Annahmen!I80</f>
        <v>0.8</v>
      </c>
      <c r="J34" s="170">
        <f>Annahmen!J80</f>
        <v>1</v>
      </c>
      <c r="K34" s="169">
        <f>Annahmen!K80</f>
        <v>0.8</v>
      </c>
      <c r="L34" s="170">
        <f>Annahmen!L80</f>
        <v>1</v>
      </c>
      <c r="M34" s="169">
        <f>Annahmen!M80</f>
        <v>0.8</v>
      </c>
      <c r="N34" s="170">
        <f>Annahmen!N80</f>
        <v>1</v>
      </c>
      <c r="O34" s="169">
        <f>Annahmen!O80</f>
        <v>0.8</v>
      </c>
      <c r="R34" s="366" t="s">
        <v>202</v>
      </c>
      <c r="S34" s="367"/>
      <c r="T34" s="367"/>
      <c r="U34" s="368"/>
      <c r="V34" s="173">
        <f>Annahmen!F103</f>
        <v>2.0000000000000001E-4</v>
      </c>
      <c r="W34" s="161">
        <f>Annahmen!G103</f>
        <v>3180</v>
      </c>
      <c r="X34" s="165">
        <f>Annahmen!H103</f>
        <v>1</v>
      </c>
      <c r="Y34" s="169">
        <f>Annahmen!I103</f>
        <v>0.95</v>
      </c>
      <c r="Z34" s="170">
        <f>Annahmen!J103</f>
        <v>1</v>
      </c>
      <c r="AA34" s="169">
        <f>Annahmen!K103</f>
        <v>0.9</v>
      </c>
      <c r="AB34" s="170">
        <f>Annahmen!L103</f>
        <v>1</v>
      </c>
      <c r="AC34" s="169">
        <f>Annahmen!M103</f>
        <v>0.9</v>
      </c>
      <c r="AD34" s="170">
        <f>Annahmen!N103</f>
        <v>1</v>
      </c>
      <c r="AE34" s="169">
        <f>Annahmen!O103</f>
        <v>0.9</v>
      </c>
      <c r="AM34" s="208"/>
      <c r="AN34" s="62"/>
      <c r="AO34" s="63"/>
      <c r="AP34" s="63"/>
      <c r="AQ34" s="63"/>
    </row>
    <row r="35" spans="2:43">
      <c r="B35" s="366" t="s">
        <v>203</v>
      </c>
      <c r="C35" s="367"/>
      <c r="D35" s="367"/>
      <c r="E35" s="368"/>
      <c r="F35" s="171">
        <f>Annahmen!F81</f>
        <v>1E-4</v>
      </c>
      <c r="G35" s="161">
        <f>Annahmen!G81</f>
        <v>40000</v>
      </c>
      <c r="H35" s="165">
        <f>Annahmen!H81</f>
        <v>1</v>
      </c>
      <c r="I35" s="169">
        <f>Annahmen!I81</f>
        <v>0.8</v>
      </c>
      <c r="J35" s="170">
        <f>Annahmen!J81</f>
        <v>1</v>
      </c>
      <c r="K35" s="169">
        <f>Annahmen!K81</f>
        <v>0.8</v>
      </c>
      <c r="L35" s="170">
        <f>Annahmen!L81</f>
        <v>1</v>
      </c>
      <c r="M35" s="169">
        <v>0.9</v>
      </c>
      <c r="N35" s="170">
        <f>Annahmen!N81</f>
        <v>1</v>
      </c>
      <c r="O35" s="169">
        <f>Annahmen!O81</f>
        <v>0.8</v>
      </c>
      <c r="R35" s="366" t="s">
        <v>203</v>
      </c>
      <c r="S35" s="367"/>
      <c r="T35" s="367"/>
      <c r="U35" s="368"/>
      <c r="V35" s="171">
        <f>Annahmen!F104</f>
        <v>1E-4</v>
      </c>
      <c r="W35" s="161">
        <f>Annahmen!G104</f>
        <v>40000</v>
      </c>
      <c r="X35" s="165">
        <f>Annahmen!H104</f>
        <v>1</v>
      </c>
      <c r="Y35" s="169">
        <f>Annahmen!I104</f>
        <v>0.95</v>
      </c>
      <c r="Z35" s="170">
        <f>Annahmen!J104</f>
        <v>1</v>
      </c>
      <c r="AA35" s="169">
        <f>Annahmen!K104</f>
        <v>0.9</v>
      </c>
      <c r="AB35" s="170">
        <f>Annahmen!L104</f>
        <v>1</v>
      </c>
      <c r="AC35" s="169">
        <f>Annahmen!M104</f>
        <v>0.9</v>
      </c>
      <c r="AD35" s="170">
        <f>Annahmen!N104</f>
        <v>1</v>
      </c>
      <c r="AE35" s="169">
        <f>Annahmen!O104</f>
        <v>0.9</v>
      </c>
      <c r="AM35" s="208"/>
      <c r="AN35" s="62"/>
      <c r="AO35" s="63"/>
      <c r="AP35" s="63"/>
      <c r="AQ35" s="63"/>
    </row>
    <row r="36" spans="2:43">
      <c r="B36" s="366" t="s">
        <v>204</v>
      </c>
      <c r="C36" s="367"/>
      <c r="D36" s="367"/>
      <c r="E36" s="368"/>
      <c r="F36" s="174">
        <f>Annahmen!F82</f>
        <v>4.0000000000000003E-5</v>
      </c>
      <c r="G36" s="161">
        <f>Annahmen!G82</f>
        <v>10000</v>
      </c>
      <c r="H36" s="165">
        <f>Annahmen!H82</f>
        <v>1</v>
      </c>
      <c r="I36" s="169">
        <f>Annahmen!I82</f>
        <v>0.8</v>
      </c>
      <c r="J36" s="170">
        <f>Annahmen!J82</f>
        <v>1</v>
      </c>
      <c r="K36" s="169">
        <f>Annahmen!K82</f>
        <v>0.8</v>
      </c>
      <c r="L36" s="170">
        <f>Annahmen!L82</f>
        <v>1</v>
      </c>
      <c r="M36" s="169">
        <f>Annahmen!M82</f>
        <v>0.8</v>
      </c>
      <c r="N36" s="170">
        <f>Annahmen!N82</f>
        <v>1</v>
      </c>
      <c r="O36" s="169">
        <f>Annahmen!O82</f>
        <v>0.8</v>
      </c>
      <c r="R36" s="366" t="s">
        <v>204</v>
      </c>
      <c r="S36" s="367"/>
      <c r="T36" s="367"/>
      <c r="U36" s="368"/>
      <c r="V36" s="174">
        <f>Annahmen!F105</f>
        <v>4.0000000000000003E-5</v>
      </c>
      <c r="W36" s="161">
        <f>Annahmen!G105</f>
        <v>10000</v>
      </c>
      <c r="X36" s="165">
        <f>Annahmen!H105</f>
        <v>1</v>
      </c>
      <c r="Y36" s="169">
        <f>Annahmen!I105</f>
        <v>0.95</v>
      </c>
      <c r="Z36" s="170">
        <f>Annahmen!J105</f>
        <v>1</v>
      </c>
      <c r="AA36" s="169">
        <f>Annahmen!K105</f>
        <v>0.9</v>
      </c>
      <c r="AB36" s="170">
        <f>Annahmen!L105</f>
        <v>1</v>
      </c>
      <c r="AC36" s="169">
        <f>Annahmen!M105</f>
        <v>0.9</v>
      </c>
      <c r="AD36" s="170">
        <f>Annahmen!N105</f>
        <v>1</v>
      </c>
      <c r="AE36" s="169">
        <f>Annahmen!O105</f>
        <v>0.9</v>
      </c>
      <c r="AM36" s="208"/>
      <c r="AN36" s="62"/>
      <c r="AO36" s="208"/>
      <c r="AP36" s="63"/>
      <c r="AQ36" s="63"/>
    </row>
    <row r="37" spans="2:43" ht="15.75">
      <c r="B37" s="369" t="s">
        <v>126</v>
      </c>
      <c r="C37" s="370"/>
      <c r="D37" s="370"/>
      <c r="E37" s="371"/>
      <c r="F37" s="65">
        <f>SUM(F22:F36)</f>
        <v>0.99594000000000016</v>
      </c>
      <c r="G37" s="57"/>
      <c r="H37" s="58"/>
      <c r="I37" s="59"/>
      <c r="J37" s="59"/>
      <c r="K37" s="59"/>
      <c r="L37" s="59"/>
      <c r="M37" s="59"/>
      <c r="N37" s="59"/>
      <c r="O37" s="154"/>
      <c r="R37" s="369" t="s">
        <v>126</v>
      </c>
      <c r="S37" s="370"/>
      <c r="T37" s="370"/>
      <c r="U37" s="371"/>
      <c r="V37" s="65">
        <f>SUM(V22:V36)</f>
        <v>0.99594000000000016</v>
      </c>
      <c r="W37" s="57"/>
      <c r="X37" s="58"/>
      <c r="Y37" s="59"/>
      <c r="Z37" s="59"/>
      <c r="AA37" s="59"/>
      <c r="AB37" s="59"/>
      <c r="AC37" s="59"/>
      <c r="AD37" s="59"/>
      <c r="AE37" s="154"/>
      <c r="AM37" s="208"/>
      <c r="AN37" s="64"/>
      <c r="AO37" s="64"/>
      <c r="AP37" s="64"/>
      <c r="AQ37" s="64"/>
    </row>
    <row r="38" spans="2:43">
      <c r="P38" s="219"/>
      <c r="Q38" s="60"/>
      <c r="AM38" s="208"/>
      <c r="AN38" s="36"/>
      <c r="AO38" s="36"/>
      <c r="AP38" s="36"/>
      <c r="AQ38" s="36"/>
    </row>
    <row r="39" spans="2:43" ht="15.75">
      <c r="B39" s="378" t="s">
        <v>85</v>
      </c>
      <c r="C39" s="379"/>
      <c r="D39" s="379"/>
      <c r="E39" s="465"/>
      <c r="F39" s="468" t="s">
        <v>127</v>
      </c>
      <c r="G39" s="462"/>
      <c r="H39" s="462"/>
      <c r="I39" s="462"/>
      <c r="J39" s="462"/>
      <c r="K39" s="462"/>
      <c r="L39" s="462"/>
      <c r="M39" s="463"/>
      <c r="R39" s="378" t="s">
        <v>85</v>
      </c>
      <c r="S39" s="379"/>
      <c r="T39" s="379"/>
      <c r="U39" s="465"/>
      <c r="V39" s="468" t="s">
        <v>127</v>
      </c>
      <c r="W39" s="462"/>
      <c r="X39" s="462"/>
      <c r="Y39" s="462"/>
      <c r="Z39" s="462"/>
      <c r="AA39" s="462"/>
      <c r="AB39" s="462"/>
      <c r="AC39" s="463"/>
      <c r="AM39" s="208"/>
      <c r="AN39" s="208"/>
      <c r="AO39" s="208"/>
      <c r="AP39" s="208"/>
      <c r="AQ39" s="208"/>
    </row>
    <row r="40" spans="2:43">
      <c r="B40" s="381"/>
      <c r="C40" s="382"/>
      <c r="D40" s="382"/>
      <c r="E40" s="466"/>
      <c r="F40" s="402" t="s">
        <v>5</v>
      </c>
      <c r="G40" s="403"/>
      <c r="H40" s="404" t="s">
        <v>122</v>
      </c>
      <c r="I40" s="403"/>
      <c r="J40" s="405" t="s">
        <v>123</v>
      </c>
      <c r="K40" s="406"/>
      <c r="L40" s="405" t="s">
        <v>124</v>
      </c>
      <c r="M40" s="406"/>
      <c r="R40" s="381"/>
      <c r="S40" s="382"/>
      <c r="T40" s="382"/>
      <c r="U40" s="466"/>
      <c r="V40" s="402" t="s">
        <v>6</v>
      </c>
      <c r="W40" s="403"/>
      <c r="X40" s="404" t="s">
        <v>122</v>
      </c>
      <c r="Y40" s="403"/>
      <c r="Z40" s="405" t="s">
        <v>123</v>
      </c>
      <c r="AA40" s="406"/>
      <c r="AB40" s="405" t="s">
        <v>124</v>
      </c>
      <c r="AC40" s="406"/>
      <c r="AM40" s="208"/>
      <c r="AN40" s="208"/>
      <c r="AO40" s="208"/>
      <c r="AP40" s="208"/>
      <c r="AQ40" s="208"/>
    </row>
    <row r="41" spans="2:43" ht="15.75" thickBot="1">
      <c r="B41" s="384"/>
      <c r="C41" s="385"/>
      <c r="D41" s="385"/>
      <c r="E41" s="467"/>
      <c r="F41" s="86" t="s">
        <v>130</v>
      </c>
      <c r="G41" s="68" t="s">
        <v>131</v>
      </c>
      <c r="H41" s="84" t="s">
        <v>130</v>
      </c>
      <c r="I41" s="54" t="s">
        <v>131</v>
      </c>
      <c r="J41" s="84" t="s">
        <v>130</v>
      </c>
      <c r="K41" s="54" t="s">
        <v>131</v>
      </c>
      <c r="L41" s="84" t="s">
        <v>130</v>
      </c>
      <c r="M41" s="54" t="s">
        <v>131</v>
      </c>
      <c r="R41" s="384"/>
      <c r="S41" s="385"/>
      <c r="T41" s="385"/>
      <c r="U41" s="467"/>
      <c r="V41" s="86" t="s">
        <v>130</v>
      </c>
      <c r="W41" s="68" t="s">
        <v>131</v>
      </c>
      <c r="X41" s="84" t="s">
        <v>130</v>
      </c>
      <c r="Y41" s="54" t="s">
        <v>131</v>
      </c>
      <c r="Z41" s="84" t="s">
        <v>130</v>
      </c>
      <c r="AA41" s="54" t="s">
        <v>131</v>
      </c>
      <c r="AB41" s="84" t="s">
        <v>130</v>
      </c>
      <c r="AC41" s="54" t="s">
        <v>131</v>
      </c>
      <c r="AM41" s="208"/>
      <c r="AN41" s="208"/>
      <c r="AO41" s="208"/>
      <c r="AP41" s="208"/>
      <c r="AQ41" s="208"/>
    </row>
    <row r="42" spans="2:43">
      <c r="B42" s="387" t="s">
        <v>192</v>
      </c>
      <c r="C42" s="388"/>
      <c r="D42" s="388"/>
      <c r="E42" s="389"/>
      <c r="F42" s="87">
        <f t="shared" ref="F42:F56" si="0">F22</f>
        <v>0.72</v>
      </c>
      <c r="G42" s="55">
        <f t="shared" ref="G42:G56" si="1">F22*I22</f>
        <v>0.57599999999999996</v>
      </c>
      <c r="H42" s="85">
        <v>0</v>
      </c>
      <c r="I42" s="55">
        <f t="shared" ref="I42:I56" si="2">G42*K22</f>
        <v>2.8799999999999999E-2</v>
      </c>
      <c r="J42" s="93">
        <v>0</v>
      </c>
      <c r="K42" s="55">
        <f t="shared" ref="K42:K56" si="3">I42*M22</f>
        <v>1.4400000000000001E-3</v>
      </c>
      <c r="L42" s="93">
        <v>0</v>
      </c>
      <c r="M42" s="214">
        <f t="shared" ref="M42:M56" si="4">K42*O22</f>
        <v>7.2000000000000002E-5</v>
      </c>
      <c r="R42" s="387" t="s">
        <v>192</v>
      </c>
      <c r="S42" s="388"/>
      <c r="T42" s="388"/>
      <c r="U42" s="389"/>
      <c r="V42" s="87">
        <f t="shared" ref="V42:V56" si="5">V22</f>
        <v>0.72</v>
      </c>
      <c r="W42" s="55">
        <f t="shared" ref="W42:W56" si="6">V22*Y22</f>
        <v>0.68399999999999994</v>
      </c>
      <c r="X42" s="85">
        <v>0</v>
      </c>
      <c r="Y42" s="55">
        <f t="shared" ref="Y42:Y56" si="7">W42*AA22</f>
        <v>1.3679999999999999E-2</v>
      </c>
      <c r="Z42" s="93">
        <v>0</v>
      </c>
      <c r="AA42" s="55">
        <f t="shared" ref="AA42:AA56" si="8">Y42*AC22</f>
        <v>2.7359999999999998E-4</v>
      </c>
      <c r="AB42" s="93">
        <v>0</v>
      </c>
      <c r="AC42" s="214">
        <f t="shared" ref="AC42:AC56" si="9">AA42*AE22</f>
        <v>5.4719999999999994E-6</v>
      </c>
    </row>
    <row r="43" spans="2:43">
      <c r="B43" s="390" t="s">
        <v>190</v>
      </c>
      <c r="C43" s="391"/>
      <c r="D43" s="391"/>
      <c r="E43" s="392"/>
      <c r="F43" s="87">
        <f t="shared" si="0"/>
        <v>0.14000000000000001</v>
      </c>
      <c r="G43" s="55">
        <f t="shared" si="1"/>
        <v>0.11200000000000002</v>
      </c>
      <c r="H43" s="85">
        <v>0</v>
      </c>
      <c r="I43" s="55">
        <f t="shared" si="2"/>
        <v>5.6000000000000008E-3</v>
      </c>
      <c r="J43" s="93">
        <v>0</v>
      </c>
      <c r="K43" s="55">
        <f t="shared" si="3"/>
        <v>2.8000000000000003E-4</v>
      </c>
      <c r="L43" s="93">
        <v>0</v>
      </c>
      <c r="M43" s="55">
        <f t="shared" si="4"/>
        <v>1.4000000000000001E-5</v>
      </c>
      <c r="R43" s="390" t="s">
        <v>190</v>
      </c>
      <c r="S43" s="391"/>
      <c r="T43" s="391"/>
      <c r="U43" s="392"/>
      <c r="V43" s="87">
        <f t="shared" si="5"/>
        <v>0.14000000000000001</v>
      </c>
      <c r="W43" s="55">
        <f t="shared" si="6"/>
        <v>0.13300000000000001</v>
      </c>
      <c r="X43" s="85">
        <v>0</v>
      </c>
      <c r="Y43" s="55">
        <f t="shared" si="7"/>
        <v>2.66E-3</v>
      </c>
      <c r="Z43" s="93">
        <v>0</v>
      </c>
      <c r="AA43" s="55">
        <f t="shared" si="8"/>
        <v>5.3199999999999999E-5</v>
      </c>
      <c r="AB43" s="93">
        <v>0</v>
      </c>
      <c r="AC43" s="55">
        <f t="shared" si="9"/>
        <v>1.0640000000000001E-6</v>
      </c>
    </row>
    <row r="44" spans="2:43">
      <c r="B44" s="363" t="s">
        <v>191</v>
      </c>
      <c r="C44" s="364"/>
      <c r="D44" s="364"/>
      <c r="E44" s="365"/>
      <c r="F44" s="87">
        <f t="shared" si="0"/>
        <v>4.4999999999999998E-2</v>
      </c>
      <c r="G44" s="55">
        <f t="shared" si="1"/>
        <v>3.5999999999999997E-2</v>
      </c>
      <c r="H44" s="85">
        <v>0</v>
      </c>
      <c r="I44" s="55">
        <f t="shared" si="2"/>
        <v>1.8E-3</v>
      </c>
      <c r="J44" s="93">
        <v>0</v>
      </c>
      <c r="K44" s="55">
        <f t="shared" si="3"/>
        <v>9.0000000000000006E-5</v>
      </c>
      <c r="L44" s="93">
        <v>0</v>
      </c>
      <c r="M44" s="55">
        <f t="shared" si="4"/>
        <v>4.5000000000000001E-6</v>
      </c>
      <c r="R44" s="363" t="s">
        <v>191</v>
      </c>
      <c r="S44" s="364"/>
      <c r="T44" s="364"/>
      <c r="U44" s="365"/>
      <c r="V44" s="87">
        <f t="shared" si="5"/>
        <v>4.4999999999999998E-2</v>
      </c>
      <c r="W44" s="55">
        <f t="shared" si="6"/>
        <v>4.2749999999999996E-2</v>
      </c>
      <c r="X44" s="85">
        <v>0</v>
      </c>
      <c r="Y44" s="55">
        <f t="shared" si="7"/>
        <v>8.5499999999999997E-4</v>
      </c>
      <c r="Z44" s="93">
        <v>0</v>
      </c>
      <c r="AA44" s="55">
        <f t="shared" si="8"/>
        <v>1.7099999999999999E-5</v>
      </c>
      <c r="AB44" s="93">
        <v>0</v>
      </c>
      <c r="AC44" s="55">
        <f t="shared" si="9"/>
        <v>3.4199999999999997E-7</v>
      </c>
    </row>
    <row r="45" spans="2:43">
      <c r="B45" s="363" t="s">
        <v>193</v>
      </c>
      <c r="C45" s="364"/>
      <c r="D45" s="364"/>
      <c r="E45" s="365"/>
      <c r="F45" s="87">
        <f t="shared" si="0"/>
        <v>2.8000000000000001E-2</v>
      </c>
      <c r="G45" s="55">
        <f t="shared" si="1"/>
        <v>2.2400000000000003E-2</v>
      </c>
      <c r="H45" s="85">
        <v>0</v>
      </c>
      <c r="I45" s="55">
        <f t="shared" si="2"/>
        <v>1.1200000000000001E-3</v>
      </c>
      <c r="J45" s="93">
        <v>0</v>
      </c>
      <c r="K45" s="55">
        <f t="shared" si="3"/>
        <v>5.6000000000000006E-5</v>
      </c>
      <c r="L45" s="93">
        <v>0</v>
      </c>
      <c r="M45" s="55">
        <f t="shared" si="4"/>
        <v>2.8000000000000003E-6</v>
      </c>
      <c r="R45" s="363" t="s">
        <v>193</v>
      </c>
      <c r="S45" s="364"/>
      <c r="T45" s="364"/>
      <c r="U45" s="365"/>
      <c r="V45" s="87">
        <f t="shared" si="5"/>
        <v>2.8000000000000001E-2</v>
      </c>
      <c r="W45" s="55">
        <f t="shared" si="6"/>
        <v>2.6599999999999999E-2</v>
      </c>
      <c r="X45" s="85">
        <v>0</v>
      </c>
      <c r="Y45" s="55">
        <f t="shared" si="7"/>
        <v>5.3200000000000003E-4</v>
      </c>
      <c r="Z45" s="93">
        <v>0</v>
      </c>
      <c r="AA45" s="55">
        <f t="shared" si="8"/>
        <v>1.0640000000000001E-5</v>
      </c>
      <c r="AB45" s="93">
        <v>0</v>
      </c>
      <c r="AC45" s="55">
        <f t="shared" si="9"/>
        <v>2.1280000000000003E-7</v>
      </c>
    </row>
    <row r="46" spans="2:43">
      <c r="B46" s="363" t="s">
        <v>194</v>
      </c>
      <c r="C46" s="364"/>
      <c r="D46" s="364"/>
      <c r="E46" s="365"/>
      <c r="F46" s="87">
        <f t="shared" si="0"/>
        <v>2.1999999999999999E-2</v>
      </c>
      <c r="G46" s="55">
        <f t="shared" si="1"/>
        <v>1.7600000000000001E-2</v>
      </c>
      <c r="H46" s="85">
        <v>0</v>
      </c>
      <c r="I46" s="55">
        <f t="shared" si="2"/>
        <v>8.8000000000000014E-4</v>
      </c>
      <c r="J46" s="93">
        <v>0</v>
      </c>
      <c r="K46" s="55">
        <f t="shared" si="3"/>
        <v>4.4000000000000012E-5</v>
      </c>
      <c r="L46" s="93">
        <v>0</v>
      </c>
      <c r="M46" s="55">
        <f t="shared" si="4"/>
        <v>2.2000000000000005E-6</v>
      </c>
      <c r="R46" s="363" t="s">
        <v>194</v>
      </c>
      <c r="S46" s="364"/>
      <c r="T46" s="364"/>
      <c r="U46" s="365"/>
      <c r="V46" s="87">
        <f t="shared" si="5"/>
        <v>2.1999999999999999E-2</v>
      </c>
      <c r="W46" s="55">
        <f t="shared" si="6"/>
        <v>2.0899999999999998E-2</v>
      </c>
      <c r="X46" s="85">
        <v>0</v>
      </c>
      <c r="Y46" s="55">
        <f t="shared" si="7"/>
        <v>4.1799999999999997E-4</v>
      </c>
      <c r="Z46" s="93">
        <v>0</v>
      </c>
      <c r="AA46" s="55">
        <f t="shared" si="8"/>
        <v>8.3599999999999996E-6</v>
      </c>
      <c r="AB46" s="93">
        <v>0</v>
      </c>
      <c r="AC46" s="55">
        <f t="shared" si="9"/>
        <v>1.6719999999999999E-7</v>
      </c>
    </row>
    <row r="47" spans="2:43">
      <c r="B47" s="363" t="s">
        <v>195</v>
      </c>
      <c r="C47" s="364"/>
      <c r="D47" s="364"/>
      <c r="E47" s="365"/>
      <c r="F47" s="87">
        <f t="shared" si="0"/>
        <v>0.02</v>
      </c>
      <c r="G47" s="55">
        <f t="shared" si="1"/>
        <v>1.6E-2</v>
      </c>
      <c r="H47" s="85">
        <v>0</v>
      </c>
      <c r="I47" s="55">
        <f t="shared" si="2"/>
        <v>8.0000000000000004E-4</v>
      </c>
      <c r="J47" s="93">
        <v>0</v>
      </c>
      <c r="K47" s="55">
        <f t="shared" si="3"/>
        <v>4.0000000000000003E-5</v>
      </c>
      <c r="L47" s="93">
        <v>0</v>
      </c>
      <c r="M47" s="55">
        <f t="shared" si="4"/>
        <v>2.0000000000000003E-6</v>
      </c>
      <c r="R47" s="363" t="s">
        <v>195</v>
      </c>
      <c r="S47" s="364"/>
      <c r="T47" s="364"/>
      <c r="U47" s="365"/>
      <c r="V47" s="87">
        <f t="shared" si="5"/>
        <v>0.02</v>
      </c>
      <c r="W47" s="55">
        <f t="shared" si="6"/>
        <v>1.9E-2</v>
      </c>
      <c r="X47" s="85">
        <v>0</v>
      </c>
      <c r="Y47" s="55">
        <f t="shared" si="7"/>
        <v>3.8000000000000002E-4</v>
      </c>
      <c r="Z47" s="93">
        <v>0</v>
      </c>
      <c r="AA47" s="55">
        <f t="shared" si="8"/>
        <v>7.6000000000000009E-6</v>
      </c>
      <c r="AB47" s="93">
        <v>0</v>
      </c>
      <c r="AC47" s="55">
        <f t="shared" si="9"/>
        <v>1.5200000000000001E-7</v>
      </c>
    </row>
    <row r="48" spans="2:43">
      <c r="B48" s="363" t="s">
        <v>196</v>
      </c>
      <c r="C48" s="364"/>
      <c r="D48" s="364"/>
      <c r="E48" s="365"/>
      <c r="F48" s="87">
        <f t="shared" si="0"/>
        <v>1.0999999999999999E-2</v>
      </c>
      <c r="G48" s="55">
        <f t="shared" si="1"/>
        <v>8.8000000000000005E-3</v>
      </c>
      <c r="H48" s="85">
        <v>0</v>
      </c>
      <c r="I48" s="55">
        <f t="shared" si="2"/>
        <v>4.4000000000000007E-4</v>
      </c>
      <c r="J48" s="93">
        <v>0</v>
      </c>
      <c r="K48" s="55">
        <f t="shared" si="3"/>
        <v>2.2000000000000006E-5</v>
      </c>
      <c r="L48" s="93">
        <v>0</v>
      </c>
      <c r="M48" s="55">
        <f t="shared" si="4"/>
        <v>1.1000000000000003E-6</v>
      </c>
      <c r="R48" s="363" t="s">
        <v>196</v>
      </c>
      <c r="S48" s="364"/>
      <c r="T48" s="364"/>
      <c r="U48" s="365"/>
      <c r="V48" s="87">
        <f t="shared" si="5"/>
        <v>1.0999999999999999E-2</v>
      </c>
      <c r="W48" s="55">
        <f t="shared" si="6"/>
        <v>1.0449999999999999E-2</v>
      </c>
      <c r="X48" s="85">
        <v>0</v>
      </c>
      <c r="Y48" s="55">
        <f t="shared" si="7"/>
        <v>2.0899999999999998E-4</v>
      </c>
      <c r="Z48" s="93">
        <v>0</v>
      </c>
      <c r="AA48" s="55">
        <f t="shared" si="8"/>
        <v>4.1799999999999998E-6</v>
      </c>
      <c r="AB48" s="93">
        <v>0</v>
      </c>
      <c r="AC48" s="55">
        <f t="shared" si="9"/>
        <v>8.3599999999999994E-8</v>
      </c>
    </row>
    <row r="49" spans="2:29">
      <c r="B49" s="366" t="s">
        <v>197</v>
      </c>
      <c r="C49" s="367"/>
      <c r="D49" s="367"/>
      <c r="E49" s="368"/>
      <c r="F49" s="88">
        <f t="shared" si="0"/>
        <v>4.0000000000000001E-3</v>
      </c>
      <c r="G49" s="56">
        <f t="shared" si="1"/>
        <v>3.2000000000000002E-3</v>
      </c>
      <c r="H49" s="94">
        <f>F29*I29</f>
        <v>3.2000000000000002E-3</v>
      </c>
      <c r="I49" s="56">
        <f t="shared" si="2"/>
        <v>2.5600000000000002E-3</v>
      </c>
      <c r="J49" s="94">
        <f>F29*I29*K29</f>
        <v>2.5600000000000002E-3</v>
      </c>
      <c r="K49" s="56">
        <f t="shared" si="3"/>
        <v>2.0480000000000003E-3</v>
      </c>
      <c r="L49" s="94">
        <f>F29*I29*K29*M29</f>
        <v>2.0480000000000003E-3</v>
      </c>
      <c r="M49" s="56">
        <f t="shared" si="4"/>
        <v>1.6384000000000004E-3</v>
      </c>
      <c r="R49" s="366" t="s">
        <v>197</v>
      </c>
      <c r="S49" s="367"/>
      <c r="T49" s="367"/>
      <c r="U49" s="368"/>
      <c r="V49" s="88">
        <f t="shared" si="5"/>
        <v>4.0000000000000001E-3</v>
      </c>
      <c r="W49" s="56">
        <f t="shared" si="6"/>
        <v>3.8E-3</v>
      </c>
      <c r="X49" s="94">
        <f>V29*Y29</f>
        <v>3.8E-3</v>
      </c>
      <c r="Y49" s="56">
        <f t="shared" si="7"/>
        <v>3.4199999999999999E-3</v>
      </c>
      <c r="Z49" s="94">
        <f>V29*Y29*AA29</f>
        <v>3.4199999999999999E-3</v>
      </c>
      <c r="AA49" s="56">
        <f t="shared" si="8"/>
        <v>3.078E-3</v>
      </c>
      <c r="AB49" s="94">
        <f>V29*Y29*AA29*AC29</f>
        <v>3.078E-3</v>
      </c>
      <c r="AC49" s="56">
        <f t="shared" si="9"/>
        <v>2.7702E-3</v>
      </c>
    </row>
    <row r="50" spans="2:29">
      <c r="B50" s="363" t="s">
        <v>198</v>
      </c>
      <c r="C50" s="364"/>
      <c r="D50" s="364"/>
      <c r="E50" s="365"/>
      <c r="F50" s="87">
        <f t="shared" si="0"/>
        <v>4.0000000000000001E-3</v>
      </c>
      <c r="G50" s="55">
        <f t="shared" si="1"/>
        <v>3.2000000000000002E-3</v>
      </c>
      <c r="H50" s="93">
        <v>0</v>
      </c>
      <c r="I50" s="55">
        <f t="shared" si="2"/>
        <v>1.6000000000000001E-4</v>
      </c>
      <c r="J50" s="93">
        <v>0</v>
      </c>
      <c r="K50" s="55">
        <f t="shared" si="3"/>
        <v>8.0000000000000013E-6</v>
      </c>
      <c r="L50" s="93">
        <v>0</v>
      </c>
      <c r="M50" s="55">
        <f t="shared" si="4"/>
        <v>4.0000000000000009E-7</v>
      </c>
      <c r="R50" s="363" t="s">
        <v>198</v>
      </c>
      <c r="S50" s="364"/>
      <c r="T50" s="364"/>
      <c r="U50" s="365"/>
      <c r="V50" s="87">
        <f t="shared" si="5"/>
        <v>4.0000000000000001E-3</v>
      </c>
      <c r="W50" s="55">
        <f t="shared" si="6"/>
        <v>3.8E-3</v>
      </c>
      <c r="X50" s="93">
        <v>0</v>
      </c>
      <c r="Y50" s="55">
        <f t="shared" si="7"/>
        <v>7.6000000000000004E-5</v>
      </c>
      <c r="Z50" s="93">
        <v>0</v>
      </c>
      <c r="AA50" s="55">
        <f t="shared" si="8"/>
        <v>1.5200000000000001E-6</v>
      </c>
      <c r="AB50" s="93">
        <v>0</v>
      </c>
      <c r="AC50" s="55">
        <f t="shared" si="9"/>
        <v>3.0400000000000001E-8</v>
      </c>
    </row>
    <row r="51" spans="2:29">
      <c r="B51" s="363" t="s">
        <v>199</v>
      </c>
      <c r="C51" s="364"/>
      <c r="D51" s="364"/>
      <c r="E51" s="365"/>
      <c r="F51" s="89">
        <f t="shared" si="0"/>
        <v>5.9999999999999995E-4</v>
      </c>
      <c r="G51" s="55">
        <f t="shared" si="1"/>
        <v>4.7999999999999996E-4</v>
      </c>
      <c r="H51" s="93">
        <v>0</v>
      </c>
      <c r="I51" s="55">
        <f t="shared" si="2"/>
        <v>2.4000000000000001E-5</v>
      </c>
      <c r="J51" s="93">
        <v>0</v>
      </c>
      <c r="K51" s="55">
        <f t="shared" si="3"/>
        <v>1.2000000000000002E-6</v>
      </c>
      <c r="L51" s="93">
        <v>0</v>
      </c>
      <c r="M51" s="55">
        <f t="shared" si="4"/>
        <v>6.0000000000000008E-8</v>
      </c>
      <c r="R51" s="363" t="s">
        <v>199</v>
      </c>
      <c r="S51" s="364"/>
      <c r="T51" s="364"/>
      <c r="U51" s="365"/>
      <c r="V51" s="89">
        <f t="shared" si="5"/>
        <v>5.9999999999999995E-4</v>
      </c>
      <c r="W51" s="55">
        <f t="shared" si="6"/>
        <v>5.6999999999999998E-4</v>
      </c>
      <c r="X51" s="93">
        <v>0</v>
      </c>
      <c r="Y51" s="55">
        <f t="shared" si="7"/>
        <v>1.1399999999999999E-5</v>
      </c>
      <c r="Z51" s="93">
        <v>0</v>
      </c>
      <c r="AA51" s="55">
        <f t="shared" si="8"/>
        <v>2.2799999999999998E-7</v>
      </c>
      <c r="AB51" s="93">
        <v>0</v>
      </c>
      <c r="AC51" s="55">
        <f t="shared" si="9"/>
        <v>4.56E-9</v>
      </c>
    </row>
    <row r="52" spans="2:29">
      <c r="B52" s="363" t="s">
        <v>200</v>
      </c>
      <c r="C52" s="364"/>
      <c r="D52" s="364"/>
      <c r="E52" s="365"/>
      <c r="F52" s="89">
        <f t="shared" si="0"/>
        <v>5.9999999999999995E-4</v>
      </c>
      <c r="G52" s="55">
        <f t="shared" si="1"/>
        <v>4.7999999999999996E-4</v>
      </c>
      <c r="H52" s="93">
        <v>0</v>
      </c>
      <c r="I52" s="55">
        <f t="shared" si="2"/>
        <v>2.4000000000000001E-5</v>
      </c>
      <c r="J52" s="93">
        <v>0</v>
      </c>
      <c r="K52" s="55">
        <f t="shared" si="3"/>
        <v>1.2000000000000002E-6</v>
      </c>
      <c r="L52" s="93">
        <v>0</v>
      </c>
      <c r="M52" s="55">
        <f t="shared" si="4"/>
        <v>6.0000000000000008E-8</v>
      </c>
      <c r="R52" s="363" t="s">
        <v>200</v>
      </c>
      <c r="S52" s="364"/>
      <c r="T52" s="364"/>
      <c r="U52" s="365"/>
      <c r="V52" s="89">
        <f t="shared" si="5"/>
        <v>5.9999999999999995E-4</v>
      </c>
      <c r="W52" s="55">
        <f t="shared" si="6"/>
        <v>5.6999999999999998E-4</v>
      </c>
      <c r="X52" s="93">
        <v>0</v>
      </c>
      <c r="Y52" s="55">
        <f t="shared" si="7"/>
        <v>1.1399999999999999E-5</v>
      </c>
      <c r="Z52" s="93">
        <v>0</v>
      </c>
      <c r="AA52" s="55">
        <f t="shared" si="8"/>
        <v>2.2799999999999998E-7</v>
      </c>
      <c r="AB52" s="93">
        <v>0</v>
      </c>
      <c r="AC52" s="55">
        <f t="shared" si="9"/>
        <v>4.56E-9</v>
      </c>
    </row>
    <row r="53" spans="2:29">
      <c r="B53" s="363" t="s">
        <v>201</v>
      </c>
      <c r="C53" s="364"/>
      <c r="D53" s="364"/>
      <c r="E53" s="365"/>
      <c r="F53" s="89">
        <f t="shared" si="0"/>
        <v>4.0000000000000002E-4</v>
      </c>
      <c r="G53" s="55">
        <f t="shared" si="1"/>
        <v>3.2000000000000003E-4</v>
      </c>
      <c r="H53" s="93">
        <v>0</v>
      </c>
      <c r="I53" s="55">
        <f t="shared" si="2"/>
        <v>1.6000000000000003E-5</v>
      </c>
      <c r="J53" s="93">
        <v>0</v>
      </c>
      <c r="K53" s="55">
        <f t="shared" si="3"/>
        <v>8.0000000000000018E-7</v>
      </c>
      <c r="L53" s="93">
        <v>0</v>
      </c>
      <c r="M53" s="55">
        <f t="shared" si="4"/>
        <v>4.0000000000000014E-8</v>
      </c>
      <c r="R53" s="363" t="s">
        <v>201</v>
      </c>
      <c r="S53" s="364"/>
      <c r="T53" s="364"/>
      <c r="U53" s="365"/>
      <c r="V53" s="89">
        <f t="shared" si="5"/>
        <v>4.0000000000000002E-4</v>
      </c>
      <c r="W53" s="55">
        <f t="shared" si="6"/>
        <v>3.8000000000000002E-4</v>
      </c>
      <c r="X53" s="93">
        <v>0</v>
      </c>
      <c r="Y53" s="55">
        <f t="shared" si="7"/>
        <v>7.6000000000000009E-6</v>
      </c>
      <c r="Z53" s="93">
        <v>0</v>
      </c>
      <c r="AA53" s="55">
        <f t="shared" si="8"/>
        <v>1.5200000000000001E-7</v>
      </c>
      <c r="AB53" s="93">
        <v>0</v>
      </c>
      <c r="AC53" s="55">
        <f t="shared" si="9"/>
        <v>3.0400000000000003E-9</v>
      </c>
    </row>
    <row r="54" spans="2:29">
      <c r="B54" s="366" t="s">
        <v>202</v>
      </c>
      <c r="C54" s="367"/>
      <c r="D54" s="367"/>
      <c r="E54" s="368"/>
      <c r="F54" s="90">
        <f t="shared" si="0"/>
        <v>2.0000000000000001E-4</v>
      </c>
      <c r="G54" s="53">
        <f t="shared" si="1"/>
        <v>1.6000000000000001E-4</v>
      </c>
      <c r="H54" s="95">
        <f>F34*I34</f>
        <v>1.6000000000000001E-4</v>
      </c>
      <c r="I54" s="53">
        <f t="shared" si="2"/>
        <v>1.2800000000000002E-4</v>
      </c>
      <c r="J54" s="95">
        <f>F34*I34*K34</f>
        <v>1.2800000000000002E-4</v>
      </c>
      <c r="K54" s="53">
        <f t="shared" si="3"/>
        <v>1.0240000000000002E-4</v>
      </c>
      <c r="L54" s="95">
        <f>F34*I34*K34*M34</f>
        <v>1.0240000000000002E-4</v>
      </c>
      <c r="M54" s="53">
        <f t="shared" si="4"/>
        <v>8.1920000000000029E-5</v>
      </c>
      <c r="R54" s="366" t="s">
        <v>202</v>
      </c>
      <c r="S54" s="367"/>
      <c r="T54" s="367"/>
      <c r="U54" s="368"/>
      <c r="V54" s="90">
        <f t="shared" si="5"/>
        <v>2.0000000000000001E-4</v>
      </c>
      <c r="W54" s="53">
        <f t="shared" si="6"/>
        <v>1.9000000000000001E-4</v>
      </c>
      <c r="X54" s="95">
        <f>V34*Y34</f>
        <v>1.9000000000000001E-4</v>
      </c>
      <c r="Y54" s="53">
        <f t="shared" si="7"/>
        <v>1.7100000000000001E-4</v>
      </c>
      <c r="Z54" s="95">
        <f>V34*Y34*AA34</f>
        <v>1.7100000000000001E-4</v>
      </c>
      <c r="AA54" s="53">
        <f t="shared" si="8"/>
        <v>1.539E-4</v>
      </c>
      <c r="AB54" s="95">
        <f>V34*Y34*AA34*AC34</f>
        <v>1.539E-4</v>
      </c>
      <c r="AC54" s="53">
        <f t="shared" si="9"/>
        <v>1.3851E-4</v>
      </c>
    </row>
    <row r="55" spans="2:29">
      <c r="B55" s="366" t="s">
        <v>203</v>
      </c>
      <c r="C55" s="367"/>
      <c r="D55" s="367"/>
      <c r="E55" s="368"/>
      <c r="F55" s="90">
        <f t="shared" si="0"/>
        <v>1E-4</v>
      </c>
      <c r="G55" s="53">
        <f t="shared" si="1"/>
        <v>8.0000000000000007E-5</v>
      </c>
      <c r="H55" s="95">
        <f>$F$35*I35</f>
        <v>8.0000000000000007E-5</v>
      </c>
      <c r="I55" s="53">
        <f t="shared" si="2"/>
        <v>6.4000000000000011E-5</v>
      </c>
      <c r="J55" s="95">
        <f>F35*I35*K35</f>
        <v>6.4000000000000011E-5</v>
      </c>
      <c r="K55" s="53">
        <f t="shared" si="3"/>
        <v>5.7600000000000011E-5</v>
      </c>
      <c r="L55" s="95">
        <f>F35*I35*K35*M35</f>
        <v>5.7600000000000011E-5</v>
      </c>
      <c r="M55" s="53">
        <f t="shared" si="4"/>
        <v>4.6080000000000013E-5</v>
      </c>
      <c r="R55" s="366" t="s">
        <v>203</v>
      </c>
      <c r="S55" s="367"/>
      <c r="T55" s="367"/>
      <c r="U55" s="368"/>
      <c r="V55" s="90">
        <f t="shared" si="5"/>
        <v>1E-4</v>
      </c>
      <c r="W55" s="53">
        <f t="shared" si="6"/>
        <v>9.5000000000000005E-5</v>
      </c>
      <c r="X55" s="95">
        <f>$F$35*Y35</f>
        <v>9.5000000000000005E-5</v>
      </c>
      <c r="Y55" s="53">
        <f t="shared" si="7"/>
        <v>8.5500000000000005E-5</v>
      </c>
      <c r="Z55" s="95">
        <f>V35*Y35*AA35</f>
        <v>8.5500000000000005E-5</v>
      </c>
      <c r="AA55" s="53">
        <f t="shared" si="8"/>
        <v>7.695E-5</v>
      </c>
      <c r="AB55" s="95">
        <f>V35*Y35*AA35*AC35</f>
        <v>7.695E-5</v>
      </c>
      <c r="AC55" s="53">
        <f t="shared" si="9"/>
        <v>6.9255E-5</v>
      </c>
    </row>
    <row r="56" spans="2:29">
      <c r="B56" s="366" t="s">
        <v>204</v>
      </c>
      <c r="C56" s="367"/>
      <c r="D56" s="367"/>
      <c r="E56" s="368"/>
      <c r="F56" s="91">
        <f t="shared" si="0"/>
        <v>4.0000000000000003E-5</v>
      </c>
      <c r="G56" s="53">
        <f t="shared" si="1"/>
        <v>3.2000000000000005E-5</v>
      </c>
      <c r="H56" s="95">
        <f>$F$36*I36</f>
        <v>3.2000000000000005E-5</v>
      </c>
      <c r="I56" s="53">
        <f t="shared" si="2"/>
        <v>2.5600000000000006E-5</v>
      </c>
      <c r="J56" s="95">
        <f>F36*I36*K36</f>
        <v>2.5600000000000006E-5</v>
      </c>
      <c r="K56" s="53">
        <f t="shared" si="3"/>
        <v>2.0480000000000007E-5</v>
      </c>
      <c r="L56" s="95">
        <f>F36*I36*K36*M36</f>
        <v>2.0480000000000007E-5</v>
      </c>
      <c r="M56" s="53">
        <f t="shared" si="4"/>
        <v>1.6384000000000008E-5</v>
      </c>
      <c r="R56" s="366" t="s">
        <v>204</v>
      </c>
      <c r="S56" s="367"/>
      <c r="T56" s="367"/>
      <c r="U56" s="368"/>
      <c r="V56" s="91">
        <f t="shared" si="5"/>
        <v>4.0000000000000003E-5</v>
      </c>
      <c r="W56" s="53">
        <f t="shared" si="6"/>
        <v>3.8000000000000002E-5</v>
      </c>
      <c r="X56" s="95">
        <f>$F$36*Y36</f>
        <v>3.8000000000000002E-5</v>
      </c>
      <c r="Y56" s="53">
        <f t="shared" si="7"/>
        <v>3.4200000000000005E-5</v>
      </c>
      <c r="Z56" s="95">
        <f>V36*Y36*AA36</f>
        <v>3.4200000000000005E-5</v>
      </c>
      <c r="AA56" s="53">
        <f t="shared" si="8"/>
        <v>3.0780000000000007E-5</v>
      </c>
      <c r="AB56" s="95">
        <f>V36*Y36*AA36*AC36</f>
        <v>3.0780000000000007E-5</v>
      </c>
      <c r="AC56" s="53">
        <f t="shared" si="9"/>
        <v>2.7702000000000007E-5</v>
      </c>
    </row>
    <row r="57" spans="2:29" ht="15.75">
      <c r="B57" s="369" t="s">
        <v>126</v>
      </c>
      <c r="C57" s="370"/>
      <c r="D57" s="370"/>
      <c r="E57" s="371"/>
      <c r="F57" s="92">
        <f t="shared" ref="F57:M57" si="10">SUM(F42:F56)</f>
        <v>0.99594000000000016</v>
      </c>
      <c r="G57" s="66">
        <f t="shared" si="10"/>
        <v>0.79675200000000002</v>
      </c>
      <c r="H57" s="96">
        <f t="shared" si="10"/>
        <v>3.4720000000000003E-3</v>
      </c>
      <c r="I57" s="66">
        <f t="shared" si="10"/>
        <v>4.2441600000000024E-2</v>
      </c>
      <c r="J57" s="96">
        <f t="shared" si="10"/>
        <v>2.7776000000000003E-3</v>
      </c>
      <c r="K57" s="66">
        <f t="shared" si="10"/>
        <v>4.2116799999999998E-3</v>
      </c>
      <c r="L57" s="96">
        <f t="shared" si="10"/>
        <v>2.2284800000000001E-3</v>
      </c>
      <c r="M57" s="66">
        <f t="shared" si="10"/>
        <v>1.8819440000000004E-3</v>
      </c>
      <c r="R57" s="369" t="s">
        <v>126</v>
      </c>
      <c r="S57" s="370"/>
      <c r="T57" s="370"/>
      <c r="U57" s="371"/>
      <c r="V57" s="92">
        <f t="shared" ref="V57:AC57" si="11">SUM(V42:V56)</f>
        <v>0.99594000000000016</v>
      </c>
      <c r="W57" s="66">
        <f t="shared" si="11"/>
        <v>0.94614299999999985</v>
      </c>
      <c r="X57" s="96">
        <f t="shared" si="11"/>
        <v>4.1229999999999991E-3</v>
      </c>
      <c r="Y57" s="66">
        <f t="shared" si="11"/>
        <v>2.2551100000000004E-2</v>
      </c>
      <c r="Z57" s="96">
        <f t="shared" si="11"/>
        <v>3.7106999999999999E-3</v>
      </c>
      <c r="AA57" s="66">
        <f t="shared" si="11"/>
        <v>3.7164380000000007E-3</v>
      </c>
      <c r="AB57" s="96">
        <f t="shared" si="11"/>
        <v>3.3396300000000005E-3</v>
      </c>
      <c r="AC57" s="66">
        <f t="shared" si="11"/>
        <v>3.0132031600000001E-3</v>
      </c>
    </row>
    <row r="59" spans="2:29" ht="15.75">
      <c r="B59" s="378" t="s">
        <v>85</v>
      </c>
      <c r="C59" s="379"/>
      <c r="D59" s="379"/>
      <c r="E59" s="465"/>
      <c r="F59" s="118"/>
      <c r="G59" s="462" t="s">
        <v>128</v>
      </c>
      <c r="H59" s="462"/>
      <c r="I59" s="462"/>
      <c r="J59" s="462"/>
      <c r="K59" s="462"/>
      <c r="L59" s="462"/>
      <c r="M59" s="463"/>
      <c r="R59" s="378" t="s">
        <v>85</v>
      </c>
      <c r="S59" s="379"/>
      <c r="T59" s="379"/>
      <c r="U59" s="465"/>
      <c r="V59" s="118"/>
      <c r="W59" s="462" t="s">
        <v>128</v>
      </c>
      <c r="X59" s="462"/>
      <c r="Y59" s="462"/>
      <c r="Z59" s="462"/>
      <c r="AA59" s="462"/>
      <c r="AB59" s="462"/>
      <c r="AC59" s="463"/>
    </row>
    <row r="60" spans="2:29">
      <c r="B60" s="381"/>
      <c r="C60" s="382"/>
      <c r="D60" s="382"/>
      <c r="E60" s="466"/>
      <c r="F60" s="402" t="s">
        <v>5</v>
      </c>
      <c r="G60" s="403"/>
      <c r="H60" s="404" t="s">
        <v>122</v>
      </c>
      <c r="I60" s="403"/>
      <c r="J60" s="405" t="s">
        <v>123</v>
      </c>
      <c r="K60" s="406"/>
      <c r="L60" s="405" t="s">
        <v>124</v>
      </c>
      <c r="M60" s="406"/>
      <c r="R60" s="381"/>
      <c r="S60" s="382"/>
      <c r="T60" s="382"/>
      <c r="U60" s="466"/>
      <c r="V60" s="402" t="s">
        <v>6</v>
      </c>
      <c r="W60" s="403"/>
      <c r="X60" s="404" t="s">
        <v>122</v>
      </c>
      <c r="Y60" s="403"/>
      <c r="Z60" s="405" t="s">
        <v>123</v>
      </c>
      <c r="AA60" s="406"/>
      <c r="AB60" s="405" t="s">
        <v>124</v>
      </c>
      <c r="AC60" s="406"/>
    </row>
    <row r="61" spans="2:29" ht="15.75" thickBot="1">
      <c r="B61" s="384"/>
      <c r="C61" s="385"/>
      <c r="D61" s="385"/>
      <c r="E61" s="467"/>
      <c r="F61" s="86" t="s">
        <v>130</v>
      </c>
      <c r="G61" s="68" t="s">
        <v>131</v>
      </c>
      <c r="H61" s="84" t="s">
        <v>130</v>
      </c>
      <c r="I61" s="54" t="s">
        <v>131</v>
      </c>
      <c r="J61" s="84" t="s">
        <v>130</v>
      </c>
      <c r="K61" s="54" t="s">
        <v>131</v>
      </c>
      <c r="L61" s="84" t="s">
        <v>130</v>
      </c>
      <c r="M61" s="54" t="s">
        <v>131</v>
      </c>
      <c r="R61" s="384"/>
      <c r="S61" s="385"/>
      <c r="T61" s="385"/>
      <c r="U61" s="467"/>
      <c r="V61" s="86" t="s">
        <v>130</v>
      </c>
      <c r="W61" s="68" t="s">
        <v>131</v>
      </c>
      <c r="X61" s="84" t="s">
        <v>130</v>
      </c>
      <c r="Y61" s="54" t="s">
        <v>131</v>
      </c>
      <c r="Z61" s="84" t="s">
        <v>130</v>
      </c>
      <c r="AA61" s="54" t="s">
        <v>131</v>
      </c>
      <c r="AB61" s="84" t="s">
        <v>130</v>
      </c>
      <c r="AC61" s="54" t="s">
        <v>131</v>
      </c>
    </row>
    <row r="62" spans="2:29">
      <c r="B62" s="387" t="s">
        <v>192</v>
      </c>
      <c r="C62" s="388"/>
      <c r="D62" s="388"/>
      <c r="E62" s="389"/>
      <c r="F62" s="87">
        <f t="shared" ref="F62:F76" si="12">F42/$F$57</f>
        <v>0.72293511657328735</v>
      </c>
      <c r="G62" s="55">
        <f t="shared" ref="G62:G76" si="13">G42/$G$57</f>
        <v>0.72293511657328746</v>
      </c>
      <c r="H62" s="93">
        <f t="shared" ref="H62:H76" si="14">H42/$H$57</f>
        <v>0</v>
      </c>
      <c r="I62" s="55">
        <f t="shared" ref="I62:I76" si="15">I42/$I$57</f>
        <v>0.67857950689889124</v>
      </c>
      <c r="J62" s="93">
        <f t="shared" ref="J62:J76" si="16">J42/$J$57</f>
        <v>0</v>
      </c>
      <c r="K62" s="55">
        <f t="shared" ref="K62:K76" si="17">K42/$K$57</f>
        <v>0.34190631766895874</v>
      </c>
      <c r="L62" s="93">
        <f t="shared" ref="L62:L76" si="18">L42/$L$57</f>
        <v>0</v>
      </c>
      <c r="M62" s="214">
        <f t="shared" ref="M62:M76" si="19">M42/$M$57</f>
        <v>3.8258311618199044E-2</v>
      </c>
      <c r="R62" s="387" t="s">
        <v>192</v>
      </c>
      <c r="S62" s="388"/>
      <c r="T62" s="388"/>
      <c r="U62" s="389"/>
      <c r="V62" s="87">
        <f>V42/$V$57</f>
        <v>0.72293511657328735</v>
      </c>
      <c r="W62" s="55">
        <f>W42/$W$57</f>
        <v>0.72293511657328757</v>
      </c>
      <c r="X62" s="93">
        <f>X42/$X$57</f>
        <v>0</v>
      </c>
      <c r="Y62" s="55">
        <f>Y42/$Y$57</f>
        <v>0.6066222933692812</v>
      </c>
      <c r="Z62" s="93">
        <f>Z42/$Z$57</f>
        <v>0</v>
      </c>
      <c r="AA62" s="55">
        <f>AA42/$AA$57</f>
        <v>7.3618879152564889E-2</v>
      </c>
      <c r="AB62" s="93">
        <f>AB42/$AB$57</f>
        <v>0</v>
      </c>
      <c r="AC62" s="214">
        <f>AC42/$AC$57</f>
        <v>1.816007653463366E-3</v>
      </c>
    </row>
    <row r="63" spans="2:29">
      <c r="B63" s="390" t="s">
        <v>190</v>
      </c>
      <c r="C63" s="391"/>
      <c r="D63" s="391"/>
      <c r="E63" s="392"/>
      <c r="F63" s="87">
        <f t="shared" si="12"/>
        <v>0.14057071711147257</v>
      </c>
      <c r="G63" s="55">
        <f t="shared" si="13"/>
        <v>0.14057071711147259</v>
      </c>
      <c r="H63" s="93">
        <f t="shared" si="14"/>
        <v>0</v>
      </c>
      <c r="I63" s="55">
        <f t="shared" si="15"/>
        <v>0.13194601523034</v>
      </c>
      <c r="J63" s="93">
        <f t="shared" si="16"/>
        <v>0</v>
      </c>
      <c r="K63" s="55">
        <f t="shared" si="17"/>
        <v>6.6481783991186427E-2</v>
      </c>
      <c r="L63" s="93">
        <f t="shared" si="18"/>
        <v>0</v>
      </c>
      <c r="M63" s="55">
        <f t="shared" si="19"/>
        <v>7.4391161479831483E-3</v>
      </c>
      <c r="R63" s="390" t="s">
        <v>190</v>
      </c>
      <c r="S63" s="391"/>
      <c r="T63" s="391"/>
      <c r="U63" s="392"/>
      <c r="V63" s="87">
        <f t="shared" ref="V63:V76" si="20">V43/$V$57</f>
        <v>0.14057071711147257</v>
      </c>
      <c r="W63" s="55">
        <f t="shared" ref="W63:W76" si="21">W43/$W$57</f>
        <v>0.14057071711147262</v>
      </c>
      <c r="X63" s="93">
        <f t="shared" ref="X63:X76" si="22">X43/$X$57</f>
        <v>0</v>
      </c>
      <c r="Y63" s="55">
        <f t="shared" ref="Y63:Y76" si="23">Y43/$Y$57</f>
        <v>0.11795433482180467</v>
      </c>
      <c r="Z63" s="93">
        <f t="shared" ref="Z63:Z76" si="24">Z43/$Z$57</f>
        <v>0</v>
      </c>
      <c r="AA63" s="55">
        <f t="shared" ref="AA63:AA76" si="25">AA43/$AA$57</f>
        <v>1.4314782057443172E-2</v>
      </c>
      <c r="AB63" s="93">
        <f t="shared" ref="AB63:AB76" si="26">AB43/$AB$57</f>
        <v>0</v>
      </c>
      <c r="AC63" s="55">
        <f t="shared" ref="AC63:AC76" si="27">AC43/$AC$57</f>
        <v>3.5311259928454347E-4</v>
      </c>
    </row>
    <row r="64" spans="2:29">
      <c r="B64" s="363" t="s">
        <v>191</v>
      </c>
      <c r="C64" s="364"/>
      <c r="D64" s="364"/>
      <c r="E64" s="365"/>
      <c r="F64" s="87">
        <f t="shared" si="12"/>
        <v>4.5183444785830459E-2</v>
      </c>
      <c r="G64" s="55">
        <f t="shared" si="13"/>
        <v>4.5183444785830466E-2</v>
      </c>
      <c r="H64" s="93">
        <f t="shared" si="14"/>
        <v>0</v>
      </c>
      <c r="I64" s="55">
        <f t="shared" si="15"/>
        <v>4.2411219181180702E-2</v>
      </c>
      <c r="J64" s="93">
        <f t="shared" si="16"/>
        <v>0</v>
      </c>
      <c r="K64" s="55">
        <f t="shared" si="17"/>
        <v>2.1369144854309921E-2</v>
      </c>
      <c r="L64" s="93">
        <f t="shared" si="18"/>
        <v>0</v>
      </c>
      <c r="M64" s="55">
        <f t="shared" si="19"/>
        <v>2.3911444761374402E-3</v>
      </c>
      <c r="R64" s="363" t="s">
        <v>191</v>
      </c>
      <c r="S64" s="364"/>
      <c r="T64" s="364"/>
      <c r="U64" s="365"/>
      <c r="V64" s="87">
        <f t="shared" si="20"/>
        <v>4.5183444785830459E-2</v>
      </c>
      <c r="W64" s="55">
        <f t="shared" si="21"/>
        <v>4.5183444785830473E-2</v>
      </c>
      <c r="X64" s="93">
        <f t="shared" si="22"/>
        <v>0</v>
      </c>
      <c r="Y64" s="55">
        <f t="shared" si="23"/>
        <v>3.7913893335580075E-2</v>
      </c>
      <c r="Z64" s="93">
        <f t="shared" si="24"/>
        <v>0</v>
      </c>
      <c r="AA64" s="55">
        <f t="shared" si="25"/>
        <v>4.6011799470353056E-3</v>
      </c>
      <c r="AB64" s="93">
        <f t="shared" si="26"/>
        <v>0</v>
      </c>
      <c r="AC64" s="55">
        <f t="shared" si="27"/>
        <v>1.1350047834146038E-4</v>
      </c>
    </row>
    <row r="65" spans="2:29">
      <c r="B65" s="363" t="s">
        <v>193</v>
      </c>
      <c r="C65" s="364"/>
      <c r="D65" s="364"/>
      <c r="E65" s="365"/>
      <c r="F65" s="87">
        <f t="shared" si="12"/>
        <v>2.8114143422294513E-2</v>
      </c>
      <c r="G65" s="55">
        <f t="shared" si="13"/>
        <v>2.811414342229452E-2</v>
      </c>
      <c r="H65" s="93">
        <f t="shared" si="14"/>
        <v>0</v>
      </c>
      <c r="I65" s="55">
        <f t="shared" si="15"/>
        <v>2.6389203046067997E-2</v>
      </c>
      <c r="J65" s="93">
        <f t="shared" si="16"/>
        <v>0</v>
      </c>
      <c r="K65" s="55">
        <f t="shared" si="17"/>
        <v>1.3296356798237286E-2</v>
      </c>
      <c r="L65" s="93">
        <f t="shared" si="18"/>
        <v>0</v>
      </c>
      <c r="M65" s="55">
        <f t="shared" si="19"/>
        <v>1.4878232295966298E-3</v>
      </c>
      <c r="R65" s="363" t="s">
        <v>193</v>
      </c>
      <c r="S65" s="364"/>
      <c r="T65" s="364"/>
      <c r="U65" s="365"/>
      <c r="V65" s="87">
        <f t="shared" si="20"/>
        <v>2.8114143422294513E-2</v>
      </c>
      <c r="W65" s="55">
        <f t="shared" si="21"/>
        <v>2.811414342229452E-2</v>
      </c>
      <c r="X65" s="93">
        <f t="shared" si="22"/>
        <v>0</v>
      </c>
      <c r="Y65" s="55">
        <f t="shared" si="23"/>
        <v>2.3590866964360937E-2</v>
      </c>
      <c r="Z65" s="93">
        <f t="shared" si="24"/>
        <v>0</v>
      </c>
      <c r="AA65" s="55">
        <f t="shared" si="25"/>
        <v>2.8629564114886351E-3</v>
      </c>
      <c r="AB65" s="93">
        <f t="shared" si="26"/>
        <v>0</v>
      </c>
      <c r="AC65" s="55">
        <f t="shared" si="27"/>
        <v>7.062251985690869E-5</v>
      </c>
    </row>
    <row r="66" spans="2:29">
      <c r="B66" s="363" t="s">
        <v>194</v>
      </c>
      <c r="C66" s="364"/>
      <c r="D66" s="364"/>
      <c r="E66" s="365"/>
      <c r="F66" s="87">
        <f t="shared" si="12"/>
        <v>2.2089684117517116E-2</v>
      </c>
      <c r="G66" s="55">
        <f t="shared" si="13"/>
        <v>2.2089684117517119E-2</v>
      </c>
      <c r="H66" s="93">
        <f t="shared" si="14"/>
        <v>0</v>
      </c>
      <c r="I66" s="55">
        <f t="shared" si="15"/>
        <v>2.0734373821910571E-2</v>
      </c>
      <c r="J66" s="93">
        <f t="shared" si="16"/>
        <v>0</v>
      </c>
      <c r="K66" s="55">
        <f t="shared" si="17"/>
        <v>1.0447137484329298E-2</v>
      </c>
      <c r="L66" s="93">
        <f t="shared" si="18"/>
        <v>0</v>
      </c>
      <c r="M66" s="55">
        <f t="shared" si="19"/>
        <v>1.1690039661116378E-3</v>
      </c>
      <c r="R66" s="363" t="s">
        <v>194</v>
      </c>
      <c r="S66" s="364"/>
      <c r="T66" s="364"/>
      <c r="U66" s="365"/>
      <c r="V66" s="87">
        <f t="shared" si="20"/>
        <v>2.2089684117517116E-2</v>
      </c>
      <c r="W66" s="55">
        <f t="shared" si="21"/>
        <v>2.2089684117517123E-2</v>
      </c>
      <c r="X66" s="93">
        <f t="shared" si="22"/>
        <v>0</v>
      </c>
      <c r="Y66" s="55">
        <f t="shared" si="23"/>
        <v>1.8535681186283591E-2</v>
      </c>
      <c r="Z66" s="93">
        <f t="shared" si="24"/>
        <v>0</v>
      </c>
      <c r="AA66" s="55">
        <f t="shared" si="25"/>
        <v>2.2494657518839271E-3</v>
      </c>
      <c r="AB66" s="93">
        <f t="shared" si="26"/>
        <v>0</v>
      </c>
      <c r="AC66" s="55">
        <f t="shared" si="27"/>
        <v>5.548912274471396E-5</v>
      </c>
    </row>
    <row r="67" spans="2:29">
      <c r="B67" s="363" t="s">
        <v>195</v>
      </c>
      <c r="C67" s="364"/>
      <c r="D67" s="364"/>
      <c r="E67" s="365"/>
      <c r="F67" s="87">
        <f t="shared" si="12"/>
        <v>2.008153101592465E-2</v>
      </c>
      <c r="G67" s="55">
        <f t="shared" si="13"/>
        <v>2.0081531015924654E-2</v>
      </c>
      <c r="H67" s="93">
        <f t="shared" si="14"/>
        <v>0</v>
      </c>
      <c r="I67" s="55">
        <f t="shared" si="15"/>
        <v>1.8849430747191424E-2</v>
      </c>
      <c r="J67" s="93">
        <f t="shared" si="16"/>
        <v>0</v>
      </c>
      <c r="K67" s="55">
        <f t="shared" si="17"/>
        <v>9.497397713026632E-3</v>
      </c>
      <c r="L67" s="93">
        <f t="shared" si="18"/>
        <v>0</v>
      </c>
      <c r="M67" s="55">
        <f t="shared" si="19"/>
        <v>1.062730878283307E-3</v>
      </c>
      <c r="R67" s="363" t="s">
        <v>195</v>
      </c>
      <c r="S67" s="364"/>
      <c r="T67" s="364"/>
      <c r="U67" s="365"/>
      <c r="V67" s="87">
        <f t="shared" si="20"/>
        <v>2.008153101592465E-2</v>
      </c>
      <c r="W67" s="55">
        <f t="shared" si="21"/>
        <v>2.0081531015924657E-2</v>
      </c>
      <c r="X67" s="93">
        <f t="shared" si="22"/>
        <v>0</v>
      </c>
      <c r="Y67" s="55">
        <f t="shared" si="23"/>
        <v>1.6850619260257813E-2</v>
      </c>
      <c r="Z67" s="93">
        <f t="shared" si="24"/>
        <v>0</v>
      </c>
      <c r="AA67" s="55">
        <f t="shared" si="25"/>
        <v>2.0449688653490249E-3</v>
      </c>
      <c r="AB67" s="93">
        <f t="shared" si="26"/>
        <v>0</v>
      </c>
      <c r="AC67" s="55">
        <f t="shared" si="27"/>
        <v>5.0444657040649061E-5</v>
      </c>
    </row>
    <row r="68" spans="2:29">
      <c r="B68" s="363" t="s">
        <v>196</v>
      </c>
      <c r="C68" s="364"/>
      <c r="D68" s="364"/>
      <c r="E68" s="365"/>
      <c r="F68" s="87">
        <f t="shared" si="12"/>
        <v>1.1044842058758558E-2</v>
      </c>
      <c r="G68" s="55">
        <f t="shared" si="13"/>
        <v>1.104484205875856E-2</v>
      </c>
      <c r="H68" s="93">
        <f t="shared" si="14"/>
        <v>0</v>
      </c>
      <c r="I68" s="55">
        <f t="shared" si="15"/>
        <v>1.0367186910955286E-2</v>
      </c>
      <c r="J68" s="93">
        <f t="shared" si="16"/>
        <v>0</v>
      </c>
      <c r="K68" s="55">
        <f t="shared" si="17"/>
        <v>5.2235687421646488E-3</v>
      </c>
      <c r="L68" s="93">
        <f t="shared" si="18"/>
        <v>0</v>
      </c>
      <c r="M68" s="55">
        <f t="shared" si="19"/>
        <v>5.845019830558189E-4</v>
      </c>
      <c r="R68" s="363" t="s">
        <v>196</v>
      </c>
      <c r="S68" s="364"/>
      <c r="T68" s="364"/>
      <c r="U68" s="365"/>
      <c r="V68" s="87">
        <f t="shared" si="20"/>
        <v>1.1044842058758558E-2</v>
      </c>
      <c r="W68" s="55">
        <f t="shared" si="21"/>
        <v>1.1044842058758561E-2</v>
      </c>
      <c r="X68" s="93">
        <f t="shared" si="22"/>
        <v>0</v>
      </c>
      <c r="Y68" s="55">
        <f t="shared" si="23"/>
        <v>9.2678405931417955E-3</v>
      </c>
      <c r="Z68" s="93">
        <f t="shared" si="24"/>
        <v>0</v>
      </c>
      <c r="AA68" s="55">
        <f t="shared" si="25"/>
        <v>1.1247328759419635E-3</v>
      </c>
      <c r="AB68" s="93">
        <f t="shared" si="26"/>
        <v>0</v>
      </c>
      <c r="AC68" s="55">
        <f t="shared" si="27"/>
        <v>2.774456137235698E-5</v>
      </c>
    </row>
    <row r="69" spans="2:29">
      <c r="B69" s="366" t="s">
        <v>197</v>
      </c>
      <c r="C69" s="367"/>
      <c r="D69" s="367"/>
      <c r="E69" s="368"/>
      <c r="F69" s="97">
        <f t="shared" si="12"/>
        <v>4.0163062031849306E-3</v>
      </c>
      <c r="G69" s="56">
        <f t="shared" si="13"/>
        <v>4.0163062031849306E-3</v>
      </c>
      <c r="H69" s="98">
        <f t="shared" si="14"/>
        <v>0.92165898617511521</v>
      </c>
      <c r="I69" s="56">
        <f t="shared" si="15"/>
        <v>6.0318178391012563E-2</v>
      </c>
      <c r="J69" s="98">
        <f t="shared" si="16"/>
        <v>0.92165898617511521</v>
      </c>
      <c r="K69" s="56">
        <f t="shared" si="17"/>
        <v>0.48626676290696358</v>
      </c>
      <c r="L69" s="98">
        <f t="shared" si="18"/>
        <v>0.91901206203331431</v>
      </c>
      <c r="M69" s="56">
        <f t="shared" si="19"/>
        <v>0.87058913548968508</v>
      </c>
      <c r="R69" s="366" t="s">
        <v>197</v>
      </c>
      <c r="S69" s="367"/>
      <c r="T69" s="367"/>
      <c r="U69" s="368"/>
      <c r="V69" s="97">
        <f t="shared" si="20"/>
        <v>4.0163062031849306E-3</v>
      </c>
      <c r="W69" s="56">
        <f t="shared" si="21"/>
        <v>4.0163062031849314E-3</v>
      </c>
      <c r="X69" s="98">
        <f t="shared" si="22"/>
        <v>0.92165898617511544</v>
      </c>
      <c r="Y69" s="56">
        <f t="shared" si="23"/>
        <v>0.1516555733423203</v>
      </c>
      <c r="Z69" s="98">
        <f t="shared" si="24"/>
        <v>0.92165898617511521</v>
      </c>
      <c r="AA69" s="56">
        <f t="shared" si="25"/>
        <v>0.82821239046635498</v>
      </c>
      <c r="AB69" s="98">
        <f t="shared" si="26"/>
        <v>0.9216589861751151</v>
      </c>
      <c r="AC69" s="56">
        <f t="shared" si="27"/>
        <v>0.91935387456582907</v>
      </c>
    </row>
    <row r="70" spans="2:29">
      <c r="B70" s="363" t="s">
        <v>198</v>
      </c>
      <c r="C70" s="364"/>
      <c r="D70" s="364"/>
      <c r="E70" s="365"/>
      <c r="F70" s="87">
        <f t="shared" si="12"/>
        <v>4.0163062031849306E-3</v>
      </c>
      <c r="G70" s="55">
        <f t="shared" si="13"/>
        <v>4.0163062031849306E-3</v>
      </c>
      <c r="H70" s="93">
        <f t="shared" si="14"/>
        <v>0</v>
      </c>
      <c r="I70" s="55">
        <f t="shared" si="15"/>
        <v>3.7698861494382852E-3</v>
      </c>
      <c r="J70" s="93">
        <f t="shared" si="16"/>
        <v>0</v>
      </c>
      <c r="K70" s="55">
        <f t="shared" si="17"/>
        <v>1.8994795426053265E-3</v>
      </c>
      <c r="L70" s="93">
        <f t="shared" si="18"/>
        <v>0</v>
      </c>
      <c r="M70" s="55">
        <f t="shared" si="19"/>
        <v>2.125461756566614E-4</v>
      </c>
      <c r="R70" s="363" t="s">
        <v>198</v>
      </c>
      <c r="S70" s="364"/>
      <c r="T70" s="364"/>
      <c r="U70" s="365"/>
      <c r="V70" s="87">
        <f t="shared" si="20"/>
        <v>4.0163062031849306E-3</v>
      </c>
      <c r="W70" s="55">
        <f t="shared" si="21"/>
        <v>4.0163062031849314E-3</v>
      </c>
      <c r="X70" s="93">
        <f t="shared" si="22"/>
        <v>0</v>
      </c>
      <c r="Y70" s="55">
        <f t="shared" si="23"/>
        <v>3.3701238520515626E-3</v>
      </c>
      <c r="Z70" s="93">
        <f t="shared" si="24"/>
        <v>0</v>
      </c>
      <c r="AA70" s="55">
        <f t="shared" si="25"/>
        <v>4.0899377306980497E-4</v>
      </c>
      <c r="AB70" s="93">
        <f t="shared" si="26"/>
        <v>0</v>
      </c>
      <c r="AC70" s="55">
        <f t="shared" si="27"/>
        <v>1.0088931408129813E-5</v>
      </c>
    </row>
    <row r="71" spans="2:29">
      <c r="B71" s="363" t="s">
        <v>199</v>
      </c>
      <c r="C71" s="364"/>
      <c r="D71" s="364"/>
      <c r="E71" s="365"/>
      <c r="F71" s="89">
        <f t="shared" si="12"/>
        <v>6.0244593047773952E-4</v>
      </c>
      <c r="G71" s="55">
        <f t="shared" si="13"/>
        <v>6.0244593047773952E-4</v>
      </c>
      <c r="H71" s="93">
        <f t="shared" si="14"/>
        <v>0</v>
      </c>
      <c r="I71" s="55">
        <f t="shared" si="15"/>
        <v>5.6548292241574271E-4</v>
      </c>
      <c r="J71" s="93">
        <f t="shared" si="16"/>
        <v>0</v>
      </c>
      <c r="K71" s="55">
        <f t="shared" si="17"/>
        <v>2.8492193139079895E-4</v>
      </c>
      <c r="L71" s="93">
        <f t="shared" si="18"/>
        <v>0</v>
      </c>
      <c r="M71" s="55">
        <f t="shared" si="19"/>
        <v>3.1881926348499206E-5</v>
      </c>
      <c r="R71" s="363" t="s">
        <v>199</v>
      </c>
      <c r="S71" s="364"/>
      <c r="T71" s="364"/>
      <c r="U71" s="365"/>
      <c r="V71" s="89">
        <f t="shared" si="20"/>
        <v>6.0244593047773952E-4</v>
      </c>
      <c r="W71" s="55">
        <f t="shared" si="21"/>
        <v>6.0244593047773974E-4</v>
      </c>
      <c r="X71" s="93">
        <f t="shared" si="22"/>
        <v>0</v>
      </c>
      <c r="Y71" s="55">
        <f t="shared" si="23"/>
        <v>5.0551857780773432E-4</v>
      </c>
      <c r="Z71" s="93">
        <f t="shared" si="24"/>
        <v>0</v>
      </c>
      <c r="AA71" s="55">
        <f t="shared" si="25"/>
        <v>6.134906596047074E-5</v>
      </c>
      <c r="AB71" s="93">
        <f t="shared" si="26"/>
        <v>0</v>
      </c>
      <c r="AC71" s="55">
        <f t="shared" si="27"/>
        <v>1.5133397112194717E-6</v>
      </c>
    </row>
    <row r="72" spans="2:29">
      <c r="B72" s="363" t="s">
        <v>200</v>
      </c>
      <c r="C72" s="364"/>
      <c r="D72" s="364"/>
      <c r="E72" s="365"/>
      <c r="F72" s="89">
        <f t="shared" si="12"/>
        <v>6.0244593047773952E-4</v>
      </c>
      <c r="G72" s="55">
        <f t="shared" si="13"/>
        <v>6.0244593047773952E-4</v>
      </c>
      <c r="H72" s="93">
        <f t="shared" si="14"/>
        <v>0</v>
      </c>
      <c r="I72" s="55">
        <f t="shared" si="15"/>
        <v>5.6548292241574271E-4</v>
      </c>
      <c r="J72" s="93">
        <f t="shared" si="16"/>
        <v>0</v>
      </c>
      <c r="K72" s="55">
        <f t="shared" si="17"/>
        <v>2.8492193139079895E-4</v>
      </c>
      <c r="L72" s="93">
        <f t="shared" si="18"/>
        <v>0</v>
      </c>
      <c r="M72" s="55">
        <f t="shared" si="19"/>
        <v>3.1881926348499206E-5</v>
      </c>
      <c r="R72" s="363" t="s">
        <v>200</v>
      </c>
      <c r="S72" s="364"/>
      <c r="T72" s="364"/>
      <c r="U72" s="365"/>
      <c r="V72" s="89">
        <f t="shared" si="20"/>
        <v>6.0244593047773952E-4</v>
      </c>
      <c r="W72" s="55">
        <f t="shared" si="21"/>
        <v>6.0244593047773974E-4</v>
      </c>
      <c r="X72" s="93">
        <f t="shared" si="22"/>
        <v>0</v>
      </c>
      <c r="Y72" s="55">
        <f t="shared" si="23"/>
        <v>5.0551857780773432E-4</v>
      </c>
      <c r="Z72" s="93">
        <f t="shared" si="24"/>
        <v>0</v>
      </c>
      <c r="AA72" s="55">
        <f t="shared" si="25"/>
        <v>6.134906596047074E-5</v>
      </c>
      <c r="AB72" s="93">
        <f t="shared" si="26"/>
        <v>0</v>
      </c>
      <c r="AC72" s="55">
        <f t="shared" si="27"/>
        <v>1.5133397112194717E-6</v>
      </c>
    </row>
    <row r="73" spans="2:29">
      <c r="B73" s="363" t="s">
        <v>201</v>
      </c>
      <c r="C73" s="364"/>
      <c r="D73" s="364"/>
      <c r="E73" s="365"/>
      <c r="F73" s="89">
        <f t="shared" si="12"/>
        <v>4.0163062031849301E-4</v>
      </c>
      <c r="G73" s="55">
        <f t="shared" si="13"/>
        <v>4.0163062031849312E-4</v>
      </c>
      <c r="H73" s="93">
        <f t="shared" si="14"/>
        <v>0</v>
      </c>
      <c r="I73" s="55">
        <f t="shared" si="15"/>
        <v>3.7698861494382853E-4</v>
      </c>
      <c r="J73" s="93">
        <f t="shared" si="16"/>
        <v>0</v>
      </c>
      <c r="K73" s="55">
        <f t="shared" si="17"/>
        <v>1.8994795426053267E-4</v>
      </c>
      <c r="L73" s="93">
        <f t="shared" si="18"/>
        <v>0</v>
      </c>
      <c r="M73" s="55">
        <f t="shared" si="19"/>
        <v>2.1254617565666144E-5</v>
      </c>
      <c r="R73" s="363" t="s">
        <v>201</v>
      </c>
      <c r="S73" s="364"/>
      <c r="T73" s="364"/>
      <c r="U73" s="365"/>
      <c r="V73" s="89">
        <f t="shared" si="20"/>
        <v>4.0163062031849301E-4</v>
      </c>
      <c r="W73" s="55">
        <f t="shared" si="21"/>
        <v>4.0163062031849317E-4</v>
      </c>
      <c r="X73" s="93">
        <f t="shared" si="22"/>
        <v>0</v>
      </c>
      <c r="Y73" s="55">
        <f t="shared" si="23"/>
        <v>3.3701238520515627E-4</v>
      </c>
      <c r="Z73" s="93">
        <f t="shared" si="24"/>
        <v>0</v>
      </c>
      <c r="AA73" s="55">
        <f t="shared" si="25"/>
        <v>4.0899377306980495E-5</v>
      </c>
      <c r="AB73" s="93">
        <f t="shared" si="26"/>
        <v>0</v>
      </c>
      <c r="AC73" s="55">
        <f t="shared" si="27"/>
        <v>1.0088931408129813E-6</v>
      </c>
    </row>
    <row r="74" spans="2:29">
      <c r="B74" s="366" t="s">
        <v>202</v>
      </c>
      <c r="C74" s="367"/>
      <c r="D74" s="367"/>
      <c r="E74" s="368"/>
      <c r="F74" s="90">
        <f t="shared" si="12"/>
        <v>2.0081531015924651E-4</v>
      </c>
      <c r="G74" s="53">
        <f t="shared" si="13"/>
        <v>2.0081531015924656E-4</v>
      </c>
      <c r="H74" s="99">
        <f t="shared" si="14"/>
        <v>4.6082949308755762E-2</v>
      </c>
      <c r="I74" s="53">
        <f t="shared" si="15"/>
        <v>3.0159089195506282E-3</v>
      </c>
      <c r="J74" s="99">
        <f t="shared" si="16"/>
        <v>4.6082949308755762E-2</v>
      </c>
      <c r="K74" s="53">
        <f t="shared" si="17"/>
        <v>2.4313338145348182E-2</v>
      </c>
      <c r="L74" s="99">
        <f t="shared" si="18"/>
        <v>4.5950603101665717E-2</v>
      </c>
      <c r="M74" s="53">
        <f t="shared" si="19"/>
        <v>4.3529456774484263E-2</v>
      </c>
      <c r="R74" s="366" t="s">
        <v>202</v>
      </c>
      <c r="S74" s="367"/>
      <c r="T74" s="367"/>
      <c r="U74" s="368"/>
      <c r="V74" s="90">
        <f t="shared" si="20"/>
        <v>2.0081531015924651E-4</v>
      </c>
      <c r="W74" s="53">
        <f t="shared" si="21"/>
        <v>2.0081531015924659E-4</v>
      </c>
      <c r="X74" s="99">
        <f t="shared" si="22"/>
        <v>4.6082949308755776E-2</v>
      </c>
      <c r="Y74" s="53">
        <f t="shared" si="23"/>
        <v>7.5827786671160153E-3</v>
      </c>
      <c r="Z74" s="99">
        <f t="shared" si="24"/>
        <v>4.6082949308755762E-2</v>
      </c>
      <c r="AA74" s="53">
        <f t="shared" si="25"/>
        <v>4.1410619523317753E-2</v>
      </c>
      <c r="AB74" s="99">
        <f t="shared" si="26"/>
        <v>4.6082949308755755E-2</v>
      </c>
      <c r="AC74" s="53">
        <f t="shared" si="27"/>
        <v>4.5967693728291459E-2</v>
      </c>
    </row>
    <row r="75" spans="2:29">
      <c r="B75" s="366" t="s">
        <v>203</v>
      </c>
      <c r="C75" s="367"/>
      <c r="D75" s="367"/>
      <c r="E75" s="368"/>
      <c r="F75" s="90">
        <f t="shared" si="12"/>
        <v>1.0040765507962325E-4</v>
      </c>
      <c r="G75" s="53">
        <f t="shared" si="13"/>
        <v>1.0040765507962328E-4</v>
      </c>
      <c r="H75" s="99">
        <f t="shared" si="14"/>
        <v>2.3041474654377881E-2</v>
      </c>
      <c r="I75" s="53">
        <f t="shared" si="15"/>
        <v>1.5079544597753141E-3</v>
      </c>
      <c r="J75" s="99">
        <f t="shared" si="16"/>
        <v>2.3041474654377881E-2</v>
      </c>
      <c r="K75" s="53">
        <f t="shared" si="17"/>
        <v>1.3676252706758351E-2</v>
      </c>
      <c r="L75" s="99">
        <f t="shared" si="18"/>
        <v>2.5847214244686965E-2</v>
      </c>
      <c r="M75" s="53">
        <f t="shared" si="19"/>
        <v>2.4485319435647395E-2</v>
      </c>
      <c r="R75" s="366" t="s">
        <v>203</v>
      </c>
      <c r="S75" s="367"/>
      <c r="T75" s="367"/>
      <c r="U75" s="368"/>
      <c r="V75" s="90">
        <f t="shared" si="20"/>
        <v>1.0040765507962325E-4</v>
      </c>
      <c r="W75" s="53">
        <f t="shared" si="21"/>
        <v>1.0040765507962329E-4</v>
      </c>
      <c r="X75" s="99">
        <f t="shared" si="22"/>
        <v>2.3041474654377888E-2</v>
      </c>
      <c r="Y75" s="53">
        <f t="shared" si="23"/>
        <v>3.7913893335580076E-3</v>
      </c>
      <c r="Z75" s="99">
        <f t="shared" si="24"/>
        <v>2.3041474654377881E-2</v>
      </c>
      <c r="AA75" s="53">
        <f t="shared" si="25"/>
        <v>2.0705309761658876E-2</v>
      </c>
      <c r="AB75" s="99">
        <f t="shared" si="26"/>
        <v>2.3041474654377878E-2</v>
      </c>
      <c r="AC75" s="53">
        <f t="shared" si="27"/>
        <v>2.2983846864145729E-2</v>
      </c>
    </row>
    <row r="76" spans="2:29">
      <c r="B76" s="366" t="s">
        <v>204</v>
      </c>
      <c r="C76" s="367"/>
      <c r="D76" s="367"/>
      <c r="E76" s="368"/>
      <c r="F76" s="90">
        <f t="shared" si="12"/>
        <v>4.0163062031849304E-5</v>
      </c>
      <c r="G76" s="53">
        <f t="shared" si="13"/>
        <v>4.0163062031849311E-5</v>
      </c>
      <c r="H76" s="99">
        <f t="shared" si="14"/>
        <v>9.2165898617511521E-3</v>
      </c>
      <c r="I76" s="53">
        <f t="shared" si="15"/>
        <v>6.0318178391012567E-4</v>
      </c>
      <c r="J76" s="99">
        <f t="shared" si="16"/>
        <v>9.2165898617511538E-3</v>
      </c>
      <c r="K76" s="53">
        <f t="shared" si="17"/>
        <v>4.8626676290696369E-3</v>
      </c>
      <c r="L76" s="99">
        <f t="shared" si="18"/>
        <v>9.1901206203331438E-3</v>
      </c>
      <c r="M76" s="53">
        <f t="shared" si="19"/>
        <v>8.7058913548968535E-3</v>
      </c>
      <c r="R76" s="366" t="s">
        <v>204</v>
      </c>
      <c r="S76" s="367"/>
      <c r="T76" s="367"/>
      <c r="U76" s="368"/>
      <c r="V76" s="90">
        <f t="shared" si="20"/>
        <v>4.0163062031849304E-5</v>
      </c>
      <c r="W76" s="53">
        <f t="shared" si="21"/>
        <v>4.0163062031849317E-5</v>
      </c>
      <c r="X76" s="99">
        <f t="shared" si="22"/>
        <v>9.2165898617511555E-3</v>
      </c>
      <c r="Y76" s="53">
        <f t="shared" si="23"/>
        <v>1.5165557334232032E-3</v>
      </c>
      <c r="Z76" s="99">
        <f t="shared" si="24"/>
        <v>9.2165898617511538E-3</v>
      </c>
      <c r="AA76" s="53">
        <f t="shared" si="25"/>
        <v>8.2821239046635513E-3</v>
      </c>
      <c r="AB76" s="99">
        <f t="shared" si="26"/>
        <v>9.2165898617511521E-3</v>
      </c>
      <c r="AC76" s="53">
        <f t="shared" si="27"/>
        <v>9.1935387456582932E-3</v>
      </c>
    </row>
    <row r="77" spans="2:29" ht="15.75">
      <c r="B77" s="369" t="s">
        <v>126</v>
      </c>
      <c r="C77" s="370"/>
      <c r="D77" s="370"/>
      <c r="E77" s="371"/>
      <c r="F77" s="92">
        <f t="shared" ref="F77:M77" si="28">SUM(F62:F76)</f>
        <v>0.99999999999999978</v>
      </c>
      <c r="G77" s="66">
        <f t="shared" si="28"/>
        <v>1</v>
      </c>
      <c r="H77" s="96">
        <f t="shared" si="28"/>
        <v>1</v>
      </c>
      <c r="I77" s="66">
        <f t="shared" si="28"/>
        <v>0.99999999999999967</v>
      </c>
      <c r="J77" s="96">
        <f t="shared" si="28"/>
        <v>1</v>
      </c>
      <c r="K77" s="66">
        <f t="shared" si="28"/>
        <v>1.0000000000000002</v>
      </c>
      <c r="L77" s="96">
        <f t="shared" si="28"/>
        <v>1.0000000000000002</v>
      </c>
      <c r="M77" s="66">
        <f t="shared" si="28"/>
        <v>1</v>
      </c>
      <c r="R77" s="369" t="s">
        <v>126</v>
      </c>
      <c r="S77" s="370"/>
      <c r="T77" s="370"/>
      <c r="U77" s="371"/>
      <c r="V77" s="92">
        <f t="shared" ref="V77:AC77" si="29">SUM(V62:V76)</f>
        <v>0.99999999999999978</v>
      </c>
      <c r="W77" s="66">
        <f t="shared" si="29"/>
        <v>1.0000000000000002</v>
      </c>
      <c r="X77" s="96">
        <f t="shared" si="29"/>
        <v>1.0000000000000002</v>
      </c>
      <c r="Y77" s="66">
        <f t="shared" si="29"/>
        <v>0.99999999999999989</v>
      </c>
      <c r="Z77" s="96">
        <f t="shared" si="29"/>
        <v>1</v>
      </c>
      <c r="AA77" s="66">
        <f t="shared" si="29"/>
        <v>0.99999999999999967</v>
      </c>
      <c r="AB77" s="96">
        <f t="shared" si="29"/>
        <v>0.99999999999999989</v>
      </c>
      <c r="AC77" s="66">
        <f t="shared" si="29"/>
        <v>0.99999999999999978</v>
      </c>
    </row>
    <row r="79" spans="2:29" ht="15.75">
      <c r="B79" s="378" t="s">
        <v>85</v>
      </c>
      <c r="C79" s="379"/>
      <c r="D79" s="379"/>
      <c r="E79" s="465"/>
      <c r="F79" s="116"/>
      <c r="G79" s="462" t="s">
        <v>129</v>
      </c>
      <c r="H79" s="462"/>
      <c r="I79" s="462"/>
      <c r="J79" s="462"/>
      <c r="K79" s="462"/>
      <c r="L79" s="462"/>
      <c r="M79" s="463"/>
      <c r="R79" s="378" t="s">
        <v>85</v>
      </c>
      <c r="S79" s="379"/>
      <c r="T79" s="379"/>
      <c r="U79" s="465"/>
      <c r="V79" s="116"/>
      <c r="W79" s="462" t="s">
        <v>129</v>
      </c>
      <c r="X79" s="462"/>
      <c r="Y79" s="462"/>
      <c r="Z79" s="462"/>
      <c r="AA79" s="462"/>
      <c r="AB79" s="462"/>
      <c r="AC79" s="463"/>
    </row>
    <row r="80" spans="2:29">
      <c r="B80" s="381"/>
      <c r="C80" s="382"/>
      <c r="D80" s="382"/>
      <c r="E80" s="466"/>
      <c r="F80" s="464" t="s">
        <v>5</v>
      </c>
      <c r="G80" s="403"/>
      <c r="H80" s="404" t="s">
        <v>122</v>
      </c>
      <c r="I80" s="403"/>
      <c r="J80" s="405" t="s">
        <v>123</v>
      </c>
      <c r="K80" s="406"/>
      <c r="L80" s="405" t="s">
        <v>124</v>
      </c>
      <c r="M80" s="406"/>
      <c r="R80" s="381"/>
      <c r="S80" s="382"/>
      <c r="T80" s="382"/>
      <c r="U80" s="466"/>
      <c r="V80" s="464" t="s">
        <v>6</v>
      </c>
      <c r="W80" s="403"/>
      <c r="X80" s="404" t="s">
        <v>122</v>
      </c>
      <c r="Y80" s="403"/>
      <c r="Z80" s="405" t="s">
        <v>123</v>
      </c>
      <c r="AA80" s="406"/>
      <c r="AB80" s="405" t="s">
        <v>124</v>
      </c>
      <c r="AC80" s="406"/>
    </row>
    <row r="81" spans="2:29" ht="15.75" thickBot="1">
      <c r="B81" s="384"/>
      <c r="C81" s="385"/>
      <c r="D81" s="385"/>
      <c r="E81" s="467"/>
      <c r="F81" s="218" t="s">
        <v>130</v>
      </c>
      <c r="G81" s="68" t="s">
        <v>131</v>
      </c>
      <c r="H81" s="84" t="s">
        <v>130</v>
      </c>
      <c r="I81" s="54" t="s">
        <v>131</v>
      </c>
      <c r="J81" s="84" t="s">
        <v>130</v>
      </c>
      <c r="K81" s="54" t="s">
        <v>131</v>
      </c>
      <c r="L81" s="84" t="s">
        <v>130</v>
      </c>
      <c r="M81" s="54" t="s">
        <v>131</v>
      </c>
      <c r="R81" s="384"/>
      <c r="S81" s="385"/>
      <c r="T81" s="385"/>
      <c r="U81" s="467"/>
      <c r="V81" s="218" t="s">
        <v>130</v>
      </c>
      <c r="W81" s="68" t="s">
        <v>131</v>
      </c>
      <c r="X81" s="84" t="s">
        <v>130</v>
      </c>
      <c r="Y81" s="54" t="s">
        <v>131</v>
      </c>
      <c r="Z81" s="84" t="s">
        <v>130</v>
      </c>
      <c r="AA81" s="54" t="s">
        <v>131</v>
      </c>
      <c r="AB81" s="84" t="s">
        <v>130</v>
      </c>
      <c r="AC81" s="54" t="s">
        <v>131</v>
      </c>
    </row>
    <row r="82" spans="2:29">
      <c r="B82" s="387" t="s">
        <v>192</v>
      </c>
      <c r="C82" s="388"/>
      <c r="D82" s="388"/>
      <c r="E82" s="389"/>
      <c r="F82" s="100">
        <f>F42*Annahmen!$F$7</f>
        <v>36000</v>
      </c>
      <c r="G82" s="69">
        <f>G42*Annahmen!$F$7</f>
        <v>28799.999999999996</v>
      </c>
      <c r="H82" s="104">
        <f>H42*Annahmen!$F$7</f>
        <v>0</v>
      </c>
      <c r="I82" s="69">
        <f>I42*Annahmen!$F$7</f>
        <v>1440</v>
      </c>
      <c r="J82" s="104">
        <f>J42*Annahmen!$F$7</f>
        <v>0</v>
      </c>
      <c r="K82" s="69">
        <f>K42*Annahmen!$F$7</f>
        <v>72</v>
      </c>
      <c r="L82" s="109">
        <f>L42*Annahmen!$F$7</f>
        <v>0</v>
      </c>
      <c r="M82" s="215">
        <f>M42*Annahmen!$F$7</f>
        <v>3.6</v>
      </c>
      <c r="R82" s="387" t="s">
        <v>192</v>
      </c>
      <c r="S82" s="388"/>
      <c r="T82" s="388"/>
      <c r="U82" s="389"/>
      <c r="V82" s="100">
        <f>V42*Annahmen!$F$7</f>
        <v>36000</v>
      </c>
      <c r="W82" s="69">
        <f>W42*Annahmen!$F$7</f>
        <v>34200</v>
      </c>
      <c r="X82" s="104">
        <f>X42*Annahmen!$F$7</f>
        <v>0</v>
      </c>
      <c r="Y82" s="69">
        <f>Y42*Annahmen!$F$7</f>
        <v>684</v>
      </c>
      <c r="Z82" s="104">
        <f>Z42*Annahmen!$F$7</f>
        <v>0</v>
      </c>
      <c r="AA82" s="69">
        <f>AA42*Annahmen!$F$7</f>
        <v>13.68</v>
      </c>
      <c r="AB82" s="109">
        <f>AB42*Annahmen!$F$7</f>
        <v>0</v>
      </c>
      <c r="AC82" s="215">
        <f>AC42*Annahmen!$F$7</f>
        <v>0.27359999999999995</v>
      </c>
    </row>
    <row r="83" spans="2:29">
      <c r="B83" s="390" t="s">
        <v>190</v>
      </c>
      <c r="C83" s="391"/>
      <c r="D83" s="391"/>
      <c r="E83" s="392"/>
      <c r="F83" s="101">
        <f>F43*Annahmen!$F$7</f>
        <v>7000.0000000000009</v>
      </c>
      <c r="G83" s="69">
        <f>G43*Annahmen!$F$7</f>
        <v>5600.0000000000009</v>
      </c>
      <c r="H83" s="104">
        <f>H43*Annahmen!$F$7</f>
        <v>0</v>
      </c>
      <c r="I83" s="69">
        <f>I43*Annahmen!$F$7</f>
        <v>280.00000000000006</v>
      </c>
      <c r="J83" s="107">
        <f>J43*Annahmen!$F$7</f>
        <v>0</v>
      </c>
      <c r="K83" s="69">
        <f>K43*Annahmen!$F$7</f>
        <v>14.000000000000002</v>
      </c>
      <c r="L83" s="104">
        <f>L43*Annahmen!$F$7</f>
        <v>0</v>
      </c>
      <c r="M83" s="69">
        <f>M43*Annahmen!$F$7</f>
        <v>0.70000000000000007</v>
      </c>
      <c r="R83" s="390" t="s">
        <v>190</v>
      </c>
      <c r="S83" s="391"/>
      <c r="T83" s="391"/>
      <c r="U83" s="392"/>
      <c r="V83" s="101">
        <f>V43*Annahmen!$F$7</f>
        <v>7000.0000000000009</v>
      </c>
      <c r="W83" s="69">
        <f>W43*Annahmen!$F$7</f>
        <v>6650</v>
      </c>
      <c r="X83" s="104">
        <f>X43*Annahmen!$F$7</f>
        <v>0</v>
      </c>
      <c r="Y83" s="69">
        <f>Y43*Annahmen!$F$7</f>
        <v>133</v>
      </c>
      <c r="Z83" s="107">
        <f>Z43*Annahmen!$F$7</f>
        <v>0</v>
      </c>
      <c r="AA83" s="69">
        <f>AA43*Annahmen!$F$7</f>
        <v>2.66</v>
      </c>
      <c r="AB83" s="104">
        <f>AB43*Annahmen!$F$7</f>
        <v>0</v>
      </c>
      <c r="AC83" s="69">
        <f>AC43*Annahmen!$F$7</f>
        <v>5.3200000000000004E-2</v>
      </c>
    </row>
    <row r="84" spans="2:29">
      <c r="B84" s="363" t="s">
        <v>191</v>
      </c>
      <c r="C84" s="364"/>
      <c r="D84" s="364"/>
      <c r="E84" s="365"/>
      <c r="F84" s="101">
        <f>F44*Annahmen!$F$7</f>
        <v>2250</v>
      </c>
      <c r="G84" s="69">
        <f>G44*Annahmen!$F$7</f>
        <v>1799.9999999999998</v>
      </c>
      <c r="H84" s="104">
        <f>H44*Annahmen!$F$7</f>
        <v>0</v>
      </c>
      <c r="I84" s="69">
        <f>I44*Annahmen!$F$7</f>
        <v>90</v>
      </c>
      <c r="J84" s="107">
        <f>J44*Annahmen!$F$7</f>
        <v>0</v>
      </c>
      <c r="K84" s="69">
        <f>K44*Annahmen!$F$7</f>
        <v>4.5</v>
      </c>
      <c r="L84" s="104">
        <f>L44*Annahmen!$F$7</f>
        <v>0</v>
      </c>
      <c r="M84" s="69">
        <f>M44*Annahmen!$F$7</f>
        <v>0.22500000000000001</v>
      </c>
      <c r="R84" s="363" t="s">
        <v>191</v>
      </c>
      <c r="S84" s="364"/>
      <c r="T84" s="364"/>
      <c r="U84" s="365"/>
      <c r="V84" s="101">
        <f>V44*Annahmen!$F$7</f>
        <v>2250</v>
      </c>
      <c r="W84" s="69">
        <f>W44*Annahmen!$F$7</f>
        <v>2137.5</v>
      </c>
      <c r="X84" s="104">
        <f>X44*Annahmen!$F$7</f>
        <v>0</v>
      </c>
      <c r="Y84" s="69">
        <f>Y44*Annahmen!$F$7</f>
        <v>42.75</v>
      </c>
      <c r="Z84" s="107">
        <f>Z44*Annahmen!$F$7</f>
        <v>0</v>
      </c>
      <c r="AA84" s="69">
        <f>AA44*Annahmen!$F$7</f>
        <v>0.85499999999999998</v>
      </c>
      <c r="AB84" s="104">
        <f>AB44*Annahmen!$F$7</f>
        <v>0</v>
      </c>
      <c r="AC84" s="69">
        <f>AC44*Annahmen!$F$7</f>
        <v>1.7099999999999997E-2</v>
      </c>
    </row>
    <row r="85" spans="2:29">
      <c r="B85" s="363" t="s">
        <v>193</v>
      </c>
      <c r="C85" s="364"/>
      <c r="D85" s="364"/>
      <c r="E85" s="365"/>
      <c r="F85" s="101">
        <f>F45*Annahmen!$F$7</f>
        <v>1400</v>
      </c>
      <c r="G85" s="69">
        <f>G45*Annahmen!$F$7</f>
        <v>1120.0000000000002</v>
      </c>
      <c r="H85" s="104">
        <f>H45*Annahmen!$F$7</f>
        <v>0</v>
      </c>
      <c r="I85" s="69">
        <f>I45*Annahmen!$F$7</f>
        <v>56.000000000000007</v>
      </c>
      <c r="J85" s="107">
        <f>J45*Annahmen!$F$7</f>
        <v>0</v>
      </c>
      <c r="K85" s="69">
        <f>K45*Annahmen!$F$7</f>
        <v>2.8000000000000003</v>
      </c>
      <c r="L85" s="104">
        <f>L45*Annahmen!$F$7</f>
        <v>0</v>
      </c>
      <c r="M85" s="69">
        <f>M45*Annahmen!$F$7</f>
        <v>0.14000000000000001</v>
      </c>
      <c r="R85" s="363" t="s">
        <v>193</v>
      </c>
      <c r="S85" s="364"/>
      <c r="T85" s="364"/>
      <c r="U85" s="365"/>
      <c r="V85" s="101">
        <f>V45*Annahmen!$F$7</f>
        <v>1400</v>
      </c>
      <c r="W85" s="69">
        <f>W45*Annahmen!$F$7</f>
        <v>1330</v>
      </c>
      <c r="X85" s="104">
        <f>X45*Annahmen!$F$7</f>
        <v>0</v>
      </c>
      <c r="Y85" s="69">
        <f>Y45*Annahmen!$F$7</f>
        <v>26.6</v>
      </c>
      <c r="Z85" s="107">
        <f>Z45*Annahmen!$F$7</f>
        <v>0</v>
      </c>
      <c r="AA85" s="69">
        <f>AA45*Annahmen!$F$7</f>
        <v>0.53200000000000003</v>
      </c>
      <c r="AB85" s="104">
        <f>AB45*Annahmen!$F$7</f>
        <v>0</v>
      </c>
      <c r="AC85" s="69">
        <f>AC45*Annahmen!$F$7</f>
        <v>1.0640000000000002E-2</v>
      </c>
    </row>
    <row r="86" spans="2:29">
      <c r="B86" s="363" t="s">
        <v>194</v>
      </c>
      <c r="C86" s="364"/>
      <c r="D86" s="364"/>
      <c r="E86" s="365"/>
      <c r="F86" s="101">
        <f>F46*Annahmen!$F$7</f>
        <v>1100</v>
      </c>
      <c r="G86" s="69">
        <f>G46*Annahmen!$F$7</f>
        <v>880</v>
      </c>
      <c r="H86" s="104">
        <f>H46*Annahmen!$F$7</f>
        <v>0</v>
      </c>
      <c r="I86" s="69">
        <f>I46*Annahmen!$F$7</f>
        <v>44.000000000000007</v>
      </c>
      <c r="J86" s="107">
        <f>J46*Annahmen!$F$7</f>
        <v>0</v>
      </c>
      <c r="K86" s="69">
        <f>K46*Annahmen!$F$7</f>
        <v>2.2000000000000006</v>
      </c>
      <c r="L86" s="104">
        <f>L46*Annahmen!$F$7</f>
        <v>0</v>
      </c>
      <c r="M86" s="69">
        <f>M46*Annahmen!$F$7</f>
        <v>0.11000000000000003</v>
      </c>
      <c r="R86" s="363" t="s">
        <v>194</v>
      </c>
      <c r="S86" s="364"/>
      <c r="T86" s="364"/>
      <c r="U86" s="365"/>
      <c r="V86" s="101">
        <f>V46*Annahmen!$F$7</f>
        <v>1100</v>
      </c>
      <c r="W86" s="69">
        <f>W46*Annahmen!$F$7</f>
        <v>1045</v>
      </c>
      <c r="X86" s="104">
        <f>X46*Annahmen!$F$7</f>
        <v>0</v>
      </c>
      <c r="Y86" s="69">
        <f>Y46*Annahmen!$F$7</f>
        <v>20.9</v>
      </c>
      <c r="Z86" s="107">
        <f>Z46*Annahmen!$F$7</f>
        <v>0</v>
      </c>
      <c r="AA86" s="69">
        <f>AA46*Annahmen!$F$7</f>
        <v>0.41799999999999998</v>
      </c>
      <c r="AB86" s="104">
        <f>AB46*Annahmen!$F$7</f>
        <v>0</v>
      </c>
      <c r="AC86" s="69">
        <f>AC46*Annahmen!$F$7</f>
        <v>8.3599999999999994E-3</v>
      </c>
    </row>
    <row r="87" spans="2:29">
      <c r="B87" s="363" t="s">
        <v>195</v>
      </c>
      <c r="C87" s="364"/>
      <c r="D87" s="364"/>
      <c r="E87" s="365"/>
      <c r="F87" s="101">
        <f>F47*Annahmen!$F$7</f>
        <v>1000</v>
      </c>
      <c r="G87" s="69">
        <f>G47*Annahmen!$F$7</f>
        <v>800</v>
      </c>
      <c r="H87" s="104">
        <f>H47*Annahmen!$F$7</f>
        <v>0</v>
      </c>
      <c r="I87" s="69">
        <f>I47*Annahmen!$F$7</f>
        <v>40</v>
      </c>
      <c r="J87" s="107">
        <f>J47*Annahmen!$F$7</f>
        <v>0</v>
      </c>
      <c r="K87" s="69">
        <f>K47*Annahmen!$F$7</f>
        <v>2</v>
      </c>
      <c r="L87" s="104">
        <f>L47*Annahmen!$F$7</f>
        <v>0</v>
      </c>
      <c r="M87" s="69">
        <f>M47*Annahmen!$F$7</f>
        <v>0.10000000000000002</v>
      </c>
      <c r="R87" s="363" t="s">
        <v>195</v>
      </c>
      <c r="S87" s="364"/>
      <c r="T87" s="364"/>
      <c r="U87" s="365"/>
      <c r="V87" s="101">
        <f>V47*Annahmen!$F$7</f>
        <v>1000</v>
      </c>
      <c r="W87" s="69">
        <f>W47*Annahmen!$F$7</f>
        <v>950</v>
      </c>
      <c r="X87" s="104">
        <f>X47*Annahmen!$F$7</f>
        <v>0</v>
      </c>
      <c r="Y87" s="69">
        <f>Y47*Annahmen!$F$7</f>
        <v>19</v>
      </c>
      <c r="Z87" s="107">
        <f>Z47*Annahmen!$F$7</f>
        <v>0</v>
      </c>
      <c r="AA87" s="69">
        <f>AA47*Annahmen!$F$7</f>
        <v>0.38000000000000006</v>
      </c>
      <c r="AB87" s="104">
        <f>AB47*Annahmen!$F$7</f>
        <v>0</v>
      </c>
      <c r="AC87" s="69">
        <f>AC47*Annahmen!$F$7</f>
        <v>7.6000000000000009E-3</v>
      </c>
    </row>
    <row r="88" spans="2:29">
      <c r="B88" s="363" t="s">
        <v>196</v>
      </c>
      <c r="C88" s="364"/>
      <c r="D88" s="364"/>
      <c r="E88" s="365"/>
      <c r="F88" s="101">
        <f>F48*Annahmen!$F$7</f>
        <v>550</v>
      </c>
      <c r="G88" s="69">
        <f>G48*Annahmen!$F$7</f>
        <v>440</v>
      </c>
      <c r="H88" s="104">
        <f>H48*Annahmen!$F$7</f>
        <v>0</v>
      </c>
      <c r="I88" s="69">
        <f>I48*Annahmen!$F$7</f>
        <v>22.000000000000004</v>
      </c>
      <c r="J88" s="107">
        <f>J48*Annahmen!$F$7</f>
        <v>0</v>
      </c>
      <c r="K88" s="69">
        <f>K48*Annahmen!$F$7</f>
        <v>1.1000000000000003</v>
      </c>
      <c r="L88" s="104">
        <f>L48*Annahmen!$F$7</f>
        <v>0</v>
      </c>
      <c r="M88" s="69">
        <f>M48*Annahmen!$F$7</f>
        <v>5.5000000000000014E-2</v>
      </c>
      <c r="R88" s="363" t="s">
        <v>196</v>
      </c>
      <c r="S88" s="364"/>
      <c r="T88" s="364"/>
      <c r="U88" s="365"/>
      <c r="V88" s="101">
        <f>V48*Annahmen!$F$7</f>
        <v>550</v>
      </c>
      <c r="W88" s="69">
        <f>W48*Annahmen!$F$7</f>
        <v>522.5</v>
      </c>
      <c r="X88" s="104">
        <f>X48*Annahmen!$F$7</f>
        <v>0</v>
      </c>
      <c r="Y88" s="69">
        <f>Y48*Annahmen!$F$7</f>
        <v>10.45</v>
      </c>
      <c r="Z88" s="107">
        <f>Z48*Annahmen!$F$7</f>
        <v>0</v>
      </c>
      <c r="AA88" s="69">
        <f>AA48*Annahmen!$F$7</f>
        <v>0.20899999999999999</v>
      </c>
      <c r="AB88" s="104">
        <f>AB48*Annahmen!$F$7</f>
        <v>0</v>
      </c>
      <c r="AC88" s="69">
        <f>AC48*Annahmen!$F$7</f>
        <v>4.1799999999999997E-3</v>
      </c>
    </row>
    <row r="89" spans="2:29">
      <c r="B89" s="366" t="s">
        <v>197</v>
      </c>
      <c r="C89" s="367"/>
      <c r="D89" s="367"/>
      <c r="E89" s="368"/>
      <c r="F89" s="102">
        <f>F49*Annahmen!$F$7</f>
        <v>200</v>
      </c>
      <c r="G89" s="70">
        <f>G49*Annahmen!$F$7</f>
        <v>160</v>
      </c>
      <c r="H89" s="105">
        <f>H49*Annahmen!$F$7</f>
        <v>160</v>
      </c>
      <c r="I89" s="70">
        <f>I49*Annahmen!$F$7</f>
        <v>128</v>
      </c>
      <c r="J89" s="108">
        <f>J49*Annahmen!$F$7</f>
        <v>128</v>
      </c>
      <c r="K89" s="70">
        <f>K49*Annahmen!$F$7</f>
        <v>102.40000000000002</v>
      </c>
      <c r="L89" s="105">
        <f>L49*Annahmen!$F$7</f>
        <v>102.40000000000002</v>
      </c>
      <c r="M89" s="70">
        <f>M49*Annahmen!$F$7</f>
        <v>81.920000000000016</v>
      </c>
      <c r="R89" s="366" t="s">
        <v>197</v>
      </c>
      <c r="S89" s="367"/>
      <c r="T89" s="367"/>
      <c r="U89" s="368"/>
      <c r="V89" s="102">
        <f>V49*Annahmen!$F$7</f>
        <v>200</v>
      </c>
      <c r="W89" s="70">
        <f>W49*Annahmen!$F$7</f>
        <v>190</v>
      </c>
      <c r="X89" s="105">
        <f>X49*Annahmen!$F$7</f>
        <v>190</v>
      </c>
      <c r="Y89" s="70">
        <f>Y49*Annahmen!$F$7</f>
        <v>171</v>
      </c>
      <c r="Z89" s="108">
        <f>Z49*Annahmen!$F$7</f>
        <v>171</v>
      </c>
      <c r="AA89" s="70">
        <f>AA49*Annahmen!$F$7</f>
        <v>153.9</v>
      </c>
      <c r="AB89" s="105">
        <f>AB49*Annahmen!$F$7</f>
        <v>153.9</v>
      </c>
      <c r="AC89" s="70">
        <f>AC49*Annahmen!$F$7</f>
        <v>138.51</v>
      </c>
    </row>
    <row r="90" spans="2:29">
      <c r="B90" s="363" t="s">
        <v>198</v>
      </c>
      <c r="C90" s="364"/>
      <c r="D90" s="364"/>
      <c r="E90" s="365"/>
      <c r="F90" s="101">
        <f>F50*Annahmen!$F$7</f>
        <v>200</v>
      </c>
      <c r="G90" s="69">
        <f>G50*Annahmen!$F$7</f>
        <v>160</v>
      </c>
      <c r="H90" s="104">
        <f>H50*Annahmen!$F$7</f>
        <v>0</v>
      </c>
      <c r="I90" s="69">
        <f>I50*Annahmen!$F$7</f>
        <v>8</v>
      </c>
      <c r="J90" s="107">
        <f>J50*Annahmen!$F$7</f>
        <v>0</v>
      </c>
      <c r="K90" s="69">
        <f>K50*Annahmen!$F$7</f>
        <v>0.40000000000000008</v>
      </c>
      <c r="L90" s="104">
        <f>L50*Annahmen!$F$7</f>
        <v>0</v>
      </c>
      <c r="M90" s="69">
        <f>M50*Annahmen!$F$7</f>
        <v>2.0000000000000004E-2</v>
      </c>
      <c r="R90" s="363" t="s">
        <v>198</v>
      </c>
      <c r="S90" s="364"/>
      <c r="T90" s="364"/>
      <c r="U90" s="365"/>
      <c r="V90" s="101">
        <f>V50*Annahmen!$F$7</f>
        <v>200</v>
      </c>
      <c r="W90" s="69">
        <f>W50*Annahmen!$F$7</f>
        <v>190</v>
      </c>
      <c r="X90" s="104">
        <f>X50*Annahmen!$F$7</f>
        <v>0</v>
      </c>
      <c r="Y90" s="69">
        <f>Y50*Annahmen!$F$7</f>
        <v>3.8000000000000003</v>
      </c>
      <c r="Z90" s="107">
        <f>Z50*Annahmen!$F$7</f>
        <v>0</v>
      </c>
      <c r="AA90" s="69">
        <f>AA50*Annahmen!$F$7</f>
        <v>7.5999999999999998E-2</v>
      </c>
      <c r="AB90" s="104">
        <f>AB50*Annahmen!$F$7</f>
        <v>0</v>
      </c>
      <c r="AC90" s="69">
        <f>AC50*Annahmen!$F$7</f>
        <v>1.5200000000000001E-3</v>
      </c>
    </row>
    <row r="91" spans="2:29">
      <c r="B91" s="363" t="s">
        <v>199</v>
      </c>
      <c r="C91" s="364"/>
      <c r="D91" s="364"/>
      <c r="E91" s="365"/>
      <c r="F91" s="101">
        <f>F51*Annahmen!$F$7</f>
        <v>29.999999999999996</v>
      </c>
      <c r="G91" s="69">
        <f>G51*Annahmen!$F$7</f>
        <v>23.999999999999996</v>
      </c>
      <c r="H91" s="104">
        <f>H51*Annahmen!$F$7</f>
        <v>0</v>
      </c>
      <c r="I91" s="69">
        <f>I51*Annahmen!$F$7</f>
        <v>1.2</v>
      </c>
      <c r="J91" s="107">
        <f>J51*Annahmen!$F$7</f>
        <v>0</v>
      </c>
      <c r="K91" s="69">
        <f>K51*Annahmen!$F$7</f>
        <v>6.0000000000000005E-2</v>
      </c>
      <c r="L91" s="104">
        <f>L51*Annahmen!$F$7</f>
        <v>0</v>
      </c>
      <c r="M91" s="69">
        <f>M51*Annahmen!$F$7</f>
        <v>3.0000000000000005E-3</v>
      </c>
      <c r="R91" s="363" t="s">
        <v>199</v>
      </c>
      <c r="S91" s="364"/>
      <c r="T91" s="364"/>
      <c r="U91" s="365"/>
      <c r="V91" s="101">
        <f>V51*Annahmen!$F$7</f>
        <v>29.999999999999996</v>
      </c>
      <c r="W91" s="69">
        <f>W51*Annahmen!$F$7</f>
        <v>28.5</v>
      </c>
      <c r="X91" s="104">
        <f>X51*Annahmen!$F$7</f>
        <v>0</v>
      </c>
      <c r="Y91" s="69">
        <f>Y51*Annahmen!$F$7</f>
        <v>0.56999999999999995</v>
      </c>
      <c r="Z91" s="107">
        <f>Z51*Annahmen!$F$7</f>
        <v>0</v>
      </c>
      <c r="AA91" s="69">
        <f>AA51*Annahmen!$F$7</f>
        <v>1.1399999999999999E-2</v>
      </c>
      <c r="AB91" s="104">
        <f>AB51*Annahmen!$F$7</f>
        <v>0</v>
      </c>
      <c r="AC91" s="69">
        <f>AC51*Annahmen!$F$7</f>
        <v>2.2799999999999999E-4</v>
      </c>
    </row>
    <row r="92" spans="2:29">
      <c r="B92" s="363" t="s">
        <v>200</v>
      </c>
      <c r="C92" s="364"/>
      <c r="D92" s="364"/>
      <c r="E92" s="365"/>
      <c r="F92" s="101">
        <f>F52*Annahmen!$F$7</f>
        <v>29.999999999999996</v>
      </c>
      <c r="G92" s="69">
        <f>G52*Annahmen!$F$7</f>
        <v>23.999999999999996</v>
      </c>
      <c r="H92" s="104">
        <f>H52*Annahmen!$F$7</f>
        <v>0</v>
      </c>
      <c r="I92" s="69">
        <f>I52*Annahmen!$F$7</f>
        <v>1.2</v>
      </c>
      <c r="J92" s="107">
        <f>J52*Annahmen!$F$7</f>
        <v>0</v>
      </c>
      <c r="K92" s="69">
        <f>K52*Annahmen!$F$7</f>
        <v>6.0000000000000005E-2</v>
      </c>
      <c r="L92" s="104">
        <f>L52*Annahmen!$F$7</f>
        <v>0</v>
      </c>
      <c r="M92" s="69">
        <f>M52*Annahmen!$F$7</f>
        <v>3.0000000000000005E-3</v>
      </c>
      <c r="R92" s="363" t="s">
        <v>200</v>
      </c>
      <c r="S92" s="364"/>
      <c r="T92" s="364"/>
      <c r="U92" s="365"/>
      <c r="V92" s="101">
        <f>V52*Annahmen!$F$7</f>
        <v>29.999999999999996</v>
      </c>
      <c r="W92" s="69">
        <f>W52*Annahmen!$F$7</f>
        <v>28.5</v>
      </c>
      <c r="X92" s="104">
        <f>X52*Annahmen!$F$7</f>
        <v>0</v>
      </c>
      <c r="Y92" s="69">
        <f>Y52*Annahmen!$F$7</f>
        <v>0.56999999999999995</v>
      </c>
      <c r="Z92" s="107">
        <f>Z52*Annahmen!$F$7</f>
        <v>0</v>
      </c>
      <c r="AA92" s="69">
        <f>AA52*Annahmen!$F$7</f>
        <v>1.1399999999999999E-2</v>
      </c>
      <c r="AB92" s="104">
        <f>AB52*Annahmen!$F$7</f>
        <v>0</v>
      </c>
      <c r="AC92" s="69">
        <f>AC52*Annahmen!$F$7</f>
        <v>2.2799999999999999E-4</v>
      </c>
    </row>
    <row r="93" spans="2:29">
      <c r="B93" s="363" t="s">
        <v>201</v>
      </c>
      <c r="C93" s="364"/>
      <c r="D93" s="364"/>
      <c r="E93" s="365"/>
      <c r="F93" s="101">
        <f>F53*Annahmen!$F$7</f>
        <v>20</v>
      </c>
      <c r="G93" s="69">
        <f>G53*Annahmen!$F$7</f>
        <v>16</v>
      </c>
      <c r="H93" s="104">
        <f>H53*Annahmen!$F$7</f>
        <v>0</v>
      </c>
      <c r="I93" s="69">
        <f>I53*Annahmen!$F$7</f>
        <v>0.80000000000000016</v>
      </c>
      <c r="J93" s="107">
        <f>J53*Annahmen!$F$7</f>
        <v>0</v>
      </c>
      <c r="K93" s="69">
        <f>K53*Annahmen!$F$7</f>
        <v>4.0000000000000008E-2</v>
      </c>
      <c r="L93" s="104">
        <f>L53*Annahmen!$F$7</f>
        <v>0</v>
      </c>
      <c r="M93" s="69">
        <f>M53*Annahmen!$F$7</f>
        <v>2.0000000000000009E-3</v>
      </c>
      <c r="R93" s="363" t="s">
        <v>201</v>
      </c>
      <c r="S93" s="364"/>
      <c r="T93" s="364"/>
      <c r="U93" s="365"/>
      <c r="V93" s="101">
        <f>V53*Annahmen!$F$7</f>
        <v>20</v>
      </c>
      <c r="W93" s="69">
        <f>W53*Annahmen!$F$7</f>
        <v>19</v>
      </c>
      <c r="X93" s="104">
        <f>X53*Annahmen!$F$7</f>
        <v>0</v>
      </c>
      <c r="Y93" s="69">
        <f>Y53*Annahmen!$F$7</f>
        <v>0.38000000000000006</v>
      </c>
      <c r="Z93" s="107">
        <f>Z53*Annahmen!$F$7</f>
        <v>0</v>
      </c>
      <c r="AA93" s="69">
        <f>AA53*Annahmen!$F$7</f>
        <v>7.6000000000000009E-3</v>
      </c>
      <c r="AB93" s="104">
        <f>AB53*Annahmen!$F$7</f>
        <v>0</v>
      </c>
      <c r="AC93" s="69">
        <f>AC53*Annahmen!$F$7</f>
        <v>1.5200000000000001E-4</v>
      </c>
    </row>
    <row r="94" spans="2:29">
      <c r="B94" s="366" t="s">
        <v>202</v>
      </c>
      <c r="C94" s="367"/>
      <c r="D94" s="367"/>
      <c r="E94" s="368"/>
      <c r="F94" s="102">
        <f>F54*Annahmen!$F$7</f>
        <v>10</v>
      </c>
      <c r="G94" s="70">
        <f>G54*Annahmen!$F$7</f>
        <v>8</v>
      </c>
      <c r="H94" s="105">
        <f>H54*Annahmen!$F$7</f>
        <v>8</v>
      </c>
      <c r="I94" s="70">
        <f>I54*Annahmen!$F$7</f>
        <v>6.4000000000000012</v>
      </c>
      <c r="J94" s="108">
        <f>J54*Annahmen!$F$7</f>
        <v>6.4000000000000012</v>
      </c>
      <c r="K94" s="70">
        <f>K54*Annahmen!$F$7</f>
        <v>5.120000000000001</v>
      </c>
      <c r="L94" s="105">
        <f>L54*Annahmen!$F$7</f>
        <v>5.120000000000001</v>
      </c>
      <c r="M94" s="70">
        <f>M54*Annahmen!$F$7</f>
        <v>4.0960000000000019</v>
      </c>
      <c r="R94" s="366" t="s">
        <v>202</v>
      </c>
      <c r="S94" s="367"/>
      <c r="T94" s="367"/>
      <c r="U94" s="368"/>
      <c r="V94" s="102">
        <f>V54*Annahmen!$F$7</f>
        <v>10</v>
      </c>
      <c r="W94" s="70">
        <f>W54*Annahmen!$F$7</f>
        <v>9.5</v>
      </c>
      <c r="X94" s="105">
        <f>X54*Annahmen!$F$7</f>
        <v>9.5</v>
      </c>
      <c r="Y94" s="70">
        <f>Y54*Annahmen!$F$7</f>
        <v>8.5500000000000007</v>
      </c>
      <c r="Z94" s="108">
        <f>Z54*Annahmen!$F$7</f>
        <v>8.5500000000000007</v>
      </c>
      <c r="AA94" s="70">
        <f>AA54*Annahmen!$F$7</f>
        <v>7.6950000000000003</v>
      </c>
      <c r="AB94" s="105">
        <f>AB54*Annahmen!$F$7</f>
        <v>7.6950000000000003</v>
      </c>
      <c r="AC94" s="70">
        <f>AC54*Annahmen!$F$7</f>
        <v>6.9255000000000004</v>
      </c>
    </row>
    <row r="95" spans="2:29">
      <c r="B95" s="366" t="s">
        <v>203</v>
      </c>
      <c r="C95" s="367"/>
      <c r="D95" s="367"/>
      <c r="E95" s="368"/>
      <c r="F95" s="102">
        <f>F55*Annahmen!$F$7</f>
        <v>5</v>
      </c>
      <c r="G95" s="70">
        <f>G55*Annahmen!$F$7</f>
        <v>4</v>
      </c>
      <c r="H95" s="105">
        <f>H55*Annahmen!$F$7</f>
        <v>4</v>
      </c>
      <c r="I95" s="70">
        <f>I55*Annahmen!$F$7</f>
        <v>3.2000000000000006</v>
      </c>
      <c r="J95" s="108">
        <f>J55*Annahmen!$F$7</f>
        <v>3.2000000000000006</v>
      </c>
      <c r="K95" s="70">
        <f>K55*Annahmen!$F$7</f>
        <v>2.8800000000000003</v>
      </c>
      <c r="L95" s="105">
        <f>L55*Annahmen!$F$7</f>
        <v>2.8800000000000003</v>
      </c>
      <c r="M95" s="70">
        <f>M55*Annahmen!$F$7</f>
        <v>2.3040000000000007</v>
      </c>
      <c r="R95" s="366" t="s">
        <v>203</v>
      </c>
      <c r="S95" s="367"/>
      <c r="T95" s="367"/>
      <c r="U95" s="368"/>
      <c r="V95" s="102">
        <f>V55*Annahmen!$F$7</f>
        <v>5</v>
      </c>
      <c r="W95" s="70">
        <f>W55*Annahmen!$F$7</f>
        <v>4.75</v>
      </c>
      <c r="X95" s="105">
        <f>X55*Annahmen!$F$7</f>
        <v>4.75</v>
      </c>
      <c r="Y95" s="70">
        <f>Y55*Annahmen!$F$7</f>
        <v>4.2750000000000004</v>
      </c>
      <c r="Z95" s="108">
        <f>Z55*Annahmen!$F$7</f>
        <v>4.2750000000000004</v>
      </c>
      <c r="AA95" s="70">
        <f>AA55*Annahmen!$F$7</f>
        <v>3.8475000000000001</v>
      </c>
      <c r="AB95" s="105">
        <f>AB55*Annahmen!$F$7</f>
        <v>3.8475000000000001</v>
      </c>
      <c r="AC95" s="70">
        <f>AC55*Annahmen!$F$7</f>
        <v>3.4627500000000002</v>
      </c>
    </row>
    <row r="96" spans="2:29">
      <c r="B96" s="366" t="s">
        <v>204</v>
      </c>
      <c r="C96" s="367"/>
      <c r="D96" s="367"/>
      <c r="E96" s="368"/>
      <c r="F96" s="102">
        <f>F56*Annahmen!$F$7</f>
        <v>2</v>
      </c>
      <c r="G96" s="70">
        <f>G56*Annahmen!$F$7</f>
        <v>1.6000000000000003</v>
      </c>
      <c r="H96" s="105">
        <f>H56*Annahmen!$F$7</f>
        <v>1.6000000000000003</v>
      </c>
      <c r="I96" s="70">
        <f>I56*Annahmen!$F$7</f>
        <v>1.2800000000000002</v>
      </c>
      <c r="J96" s="108">
        <f>J56*Annahmen!$F$7</f>
        <v>1.2800000000000002</v>
      </c>
      <c r="K96" s="70">
        <f>K56*Annahmen!$F$7</f>
        <v>1.0240000000000005</v>
      </c>
      <c r="L96" s="108">
        <f>L56*Annahmen!$F$7</f>
        <v>1.0240000000000005</v>
      </c>
      <c r="M96" s="216">
        <f>M56*Annahmen!$F$7</f>
        <v>0.81920000000000037</v>
      </c>
      <c r="R96" s="366" t="s">
        <v>204</v>
      </c>
      <c r="S96" s="367"/>
      <c r="T96" s="367"/>
      <c r="U96" s="368"/>
      <c r="V96" s="102">
        <f>V56*Annahmen!$F$7</f>
        <v>2</v>
      </c>
      <c r="W96" s="70">
        <f>W56*Annahmen!$F$7</f>
        <v>1.9000000000000001</v>
      </c>
      <c r="X96" s="105">
        <f>X56*Annahmen!$F$7</f>
        <v>1.9000000000000001</v>
      </c>
      <c r="Y96" s="70">
        <f>Y56*Annahmen!$F$7</f>
        <v>1.7100000000000002</v>
      </c>
      <c r="Z96" s="108">
        <f>Z56*Annahmen!$F$7</f>
        <v>1.7100000000000002</v>
      </c>
      <c r="AA96" s="70">
        <f>AA56*Annahmen!$F$7</f>
        <v>1.5390000000000004</v>
      </c>
      <c r="AB96" s="108">
        <f>AB56*Annahmen!$F$7</f>
        <v>1.5390000000000004</v>
      </c>
      <c r="AC96" s="216">
        <f>AC56*Annahmen!$F$7</f>
        <v>1.3851000000000004</v>
      </c>
    </row>
    <row r="97" spans="2:29" ht="15.75">
      <c r="B97" s="369" t="s">
        <v>126</v>
      </c>
      <c r="C97" s="370"/>
      <c r="D97" s="370"/>
      <c r="E97" s="371"/>
      <c r="F97" s="103">
        <f t="shared" ref="F97:M97" si="30">SUM(F82:F96)</f>
        <v>49797</v>
      </c>
      <c r="G97" s="71">
        <f t="shared" si="30"/>
        <v>39837.599999999999</v>
      </c>
      <c r="H97" s="106">
        <f t="shared" si="30"/>
        <v>173.6</v>
      </c>
      <c r="I97" s="71">
        <f t="shared" si="30"/>
        <v>2122.08</v>
      </c>
      <c r="J97" s="106">
        <f t="shared" si="30"/>
        <v>138.88</v>
      </c>
      <c r="K97" s="71">
        <f t="shared" si="30"/>
        <v>210.584</v>
      </c>
      <c r="L97" s="106">
        <f t="shared" si="30"/>
        <v>111.42400000000002</v>
      </c>
      <c r="M97" s="217">
        <f t="shared" si="30"/>
        <v>94.097200000000001</v>
      </c>
      <c r="R97" s="369" t="s">
        <v>126</v>
      </c>
      <c r="S97" s="370"/>
      <c r="T97" s="370"/>
      <c r="U97" s="371"/>
      <c r="V97" s="103">
        <f t="shared" ref="V97:AC97" si="31">SUM(V82:V96)</f>
        <v>49797</v>
      </c>
      <c r="W97" s="71">
        <f t="shared" si="31"/>
        <v>47307.15</v>
      </c>
      <c r="X97" s="106">
        <f t="shared" si="31"/>
        <v>206.15</v>
      </c>
      <c r="Y97" s="71">
        <f t="shared" si="31"/>
        <v>1127.5550000000001</v>
      </c>
      <c r="Z97" s="106">
        <f t="shared" si="31"/>
        <v>185.53500000000003</v>
      </c>
      <c r="AA97" s="71">
        <f t="shared" si="31"/>
        <v>185.8219</v>
      </c>
      <c r="AB97" s="106">
        <f t="shared" si="31"/>
        <v>166.98149999999998</v>
      </c>
      <c r="AC97" s="217">
        <f t="shared" si="31"/>
        <v>150.660158</v>
      </c>
    </row>
  </sheetData>
  <sheetProtection algorithmName="SHA-512" hashValue="o1my8tTw9D80Vdnf7B2vgfl9BgQwUsJuxBKDwvB9M2h7Hkn6X4/iS8cI1tbFANhij4dkFV0eE9zSr1Qi+MDj8w==" saltValue="l4s0s6oMLOSoE4NzAX9pFg==" spinCount="100000" sheet="1" objects="1" scenarios="1"/>
  <mergeCells count="212">
    <mergeCell ref="F80:G80"/>
    <mergeCell ref="H80:I80"/>
    <mergeCell ref="J80:K80"/>
    <mergeCell ref="L80:M80"/>
    <mergeCell ref="B22:E22"/>
    <mergeCell ref="J40:K40"/>
    <mergeCell ref="L40:M40"/>
    <mergeCell ref="F60:G60"/>
    <mergeCell ref="H60:I60"/>
    <mergeCell ref="J60:K60"/>
    <mergeCell ref="L60:M60"/>
    <mergeCell ref="B42:E42"/>
    <mergeCell ref="B37:E37"/>
    <mergeCell ref="B30:E30"/>
    <mergeCell ref="B31:E31"/>
    <mergeCell ref="B32:E32"/>
    <mergeCell ref="B33:E33"/>
    <mergeCell ref="B34:E34"/>
    <mergeCell ref="B35:E35"/>
    <mergeCell ref="B24:E24"/>
    <mergeCell ref="B25:E25"/>
    <mergeCell ref="B26:E26"/>
    <mergeCell ref="B27:E27"/>
    <mergeCell ref="B28:E28"/>
    <mergeCell ref="G59:M59"/>
    <mergeCell ref="G79:M79"/>
    <mergeCell ref="AN19:AQ19"/>
    <mergeCell ref="H20:I20"/>
    <mergeCell ref="J20:K20"/>
    <mergeCell ref="L20:M20"/>
    <mergeCell ref="N20:O20"/>
    <mergeCell ref="F40:G40"/>
    <mergeCell ref="H40:I40"/>
    <mergeCell ref="H19:O19"/>
    <mergeCell ref="V19:V21"/>
    <mergeCell ref="W19:W21"/>
    <mergeCell ref="X19:AE19"/>
    <mergeCell ref="F19:F21"/>
    <mergeCell ref="G19:G21"/>
    <mergeCell ref="R23:U23"/>
    <mergeCell ref="R24:U24"/>
    <mergeCell ref="R25:U25"/>
    <mergeCell ref="R26:U26"/>
    <mergeCell ref="R27:U27"/>
    <mergeCell ref="X20:Y20"/>
    <mergeCell ref="Z20:AA20"/>
    <mergeCell ref="AB20:AC20"/>
    <mergeCell ref="AD20:AE20"/>
    <mergeCell ref="A1:K1"/>
    <mergeCell ref="F13:K13"/>
    <mergeCell ref="B13:E13"/>
    <mergeCell ref="B19:E21"/>
    <mergeCell ref="B39:E41"/>
    <mergeCell ref="B12:E12"/>
    <mergeCell ref="F12:K12"/>
    <mergeCell ref="B9:K9"/>
    <mergeCell ref="B10:E10"/>
    <mergeCell ref="F10:K10"/>
    <mergeCell ref="B11:E11"/>
    <mergeCell ref="F11:K11"/>
    <mergeCell ref="F39:M39"/>
    <mergeCell ref="B36:E36"/>
    <mergeCell ref="B29:E29"/>
    <mergeCell ref="B23:E23"/>
    <mergeCell ref="B16:E16"/>
    <mergeCell ref="F16:K16"/>
    <mergeCell ref="B14:E14"/>
    <mergeCell ref="F14:K14"/>
    <mergeCell ref="B15:E15"/>
    <mergeCell ref="F15:K15"/>
    <mergeCell ref="B48:E48"/>
    <mergeCell ref="B49:E49"/>
    <mergeCell ref="B50:E50"/>
    <mergeCell ref="B51:E51"/>
    <mergeCell ref="B52:E52"/>
    <mergeCell ref="B43:E43"/>
    <mergeCell ref="B44:E44"/>
    <mergeCell ref="B45:E45"/>
    <mergeCell ref="B46:E46"/>
    <mergeCell ref="B47:E47"/>
    <mergeCell ref="B62:E62"/>
    <mergeCell ref="B63:E63"/>
    <mergeCell ref="B64:E64"/>
    <mergeCell ref="B59:E61"/>
    <mergeCell ref="B53:E53"/>
    <mergeCell ref="B54:E54"/>
    <mergeCell ref="B55:E55"/>
    <mergeCell ref="B56:E56"/>
    <mergeCell ref="B57:E57"/>
    <mergeCell ref="B71:E71"/>
    <mergeCell ref="B72:E72"/>
    <mergeCell ref="B73:E73"/>
    <mergeCell ref="B74:E74"/>
    <mergeCell ref="B65:E65"/>
    <mergeCell ref="B66:E66"/>
    <mergeCell ref="B67:E67"/>
    <mergeCell ref="B68:E68"/>
    <mergeCell ref="B69:E69"/>
    <mergeCell ref="R9:AA9"/>
    <mergeCell ref="R10:U10"/>
    <mergeCell ref="V10:AA10"/>
    <mergeCell ref="B97:E97"/>
    <mergeCell ref="B92:E92"/>
    <mergeCell ref="B93:E93"/>
    <mergeCell ref="B94:E94"/>
    <mergeCell ref="B95:E95"/>
    <mergeCell ref="B96:E96"/>
    <mergeCell ref="B87:E87"/>
    <mergeCell ref="B88:E88"/>
    <mergeCell ref="B89:E89"/>
    <mergeCell ref="B90:E90"/>
    <mergeCell ref="B91:E91"/>
    <mergeCell ref="B82:E82"/>
    <mergeCell ref="B83:E83"/>
    <mergeCell ref="B84:E84"/>
    <mergeCell ref="B85:E85"/>
    <mergeCell ref="B86:E86"/>
    <mergeCell ref="B75:E75"/>
    <mergeCell ref="B76:E76"/>
    <mergeCell ref="B77:E77"/>
    <mergeCell ref="B79:E81"/>
    <mergeCell ref="B70:E70"/>
    <mergeCell ref="R14:U14"/>
    <mergeCell ref="V14:AA14"/>
    <mergeCell ref="R15:U15"/>
    <mergeCell ref="V15:AA15"/>
    <mergeCell ref="R16:U16"/>
    <mergeCell ref="V16:AA16"/>
    <mergeCell ref="R11:U11"/>
    <mergeCell ref="V11:AA11"/>
    <mergeCell ref="R12:U12"/>
    <mergeCell ref="V12:AA12"/>
    <mergeCell ref="R13:U13"/>
    <mergeCell ref="V13:AA13"/>
    <mergeCell ref="R22:U22"/>
    <mergeCell ref="R19:U21"/>
    <mergeCell ref="R33:U33"/>
    <mergeCell ref="R34:U34"/>
    <mergeCell ref="R35:U35"/>
    <mergeCell ref="R36:U36"/>
    <mergeCell ref="R37:U37"/>
    <mergeCell ref="R28:U28"/>
    <mergeCell ref="R29:U29"/>
    <mergeCell ref="R30:U30"/>
    <mergeCell ref="R31:U31"/>
    <mergeCell ref="R32:U32"/>
    <mergeCell ref="R42:U42"/>
    <mergeCell ref="R43:U43"/>
    <mergeCell ref="R44:U44"/>
    <mergeCell ref="R45:U45"/>
    <mergeCell ref="R46:U46"/>
    <mergeCell ref="V39:AC39"/>
    <mergeCell ref="V40:W40"/>
    <mergeCell ref="X40:Y40"/>
    <mergeCell ref="Z40:AA40"/>
    <mergeCell ref="AB40:AC40"/>
    <mergeCell ref="R39:U41"/>
    <mergeCell ref="R52:U52"/>
    <mergeCell ref="R53:U53"/>
    <mergeCell ref="R54:U54"/>
    <mergeCell ref="R55:U55"/>
    <mergeCell ref="R56:U56"/>
    <mergeCell ref="R47:U47"/>
    <mergeCell ref="R48:U48"/>
    <mergeCell ref="R49:U49"/>
    <mergeCell ref="R50:U50"/>
    <mergeCell ref="R51:U51"/>
    <mergeCell ref="R62:U62"/>
    <mergeCell ref="R63:U63"/>
    <mergeCell ref="R64:U64"/>
    <mergeCell ref="R65:U65"/>
    <mergeCell ref="R66:U66"/>
    <mergeCell ref="R57:U57"/>
    <mergeCell ref="W59:AC59"/>
    <mergeCell ref="V60:W60"/>
    <mergeCell ref="X60:Y60"/>
    <mergeCell ref="Z60:AA60"/>
    <mergeCell ref="AB60:AC60"/>
    <mergeCell ref="R59:U61"/>
    <mergeCell ref="R72:U72"/>
    <mergeCell ref="R73:U73"/>
    <mergeCell ref="R74:U74"/>
    <mergeCell ref="R75:U75"/>
    <mergeCell ref="R76:U76"/>
    <mergeCell ref="R67:U67"/>
    <mergeCell ref="R68:U68"/>
    <mergeCell ref="R69:U69"/>
    <mergeCell ref="R70:U70"/>
    <mergeCell ref="R71:U71"/>
    <mergeCell ref="R82:U82"/>
    <mergeCell ref="R83:U83"/>
    <mergeCell ref="R84:U84"/>
    <mergeCell ref="R85:U85"/>
    <mergeCell ref="R86:U86"/>
    <mergeCell ref="R77:U77"/>
    <mergeCell ref="W79:AC79"/>
    <mergeCell ref="V80:W80"/>
    <mergeCell ref="X80:Y80"/>
    <mergeCell ref="Z80:AA80"/>
    <mergeCell ref="AB80:AC80"/>
    <mergeCell ref="R79:U81"/>
    <mergeCell ref="R97:U97"/>
    <mergeCell ref="R92:U92"/>
    <mergeCell ref="R93:U93"/>
    <mergeCell ref="R94:U94"/>
    <mergeCell ref="R95:U95"/>
    <mergeCell ref="R96:U96"/>
    <mergeCell ref="R87:U87"/>
    <mergeCell ref="R88:U88"/>
    <mergeCell ref="R89:U89"/>
    <mergeCell ref="R90:U90"/>
    <mergeCell ref="R91:U91"/>
  </mergeCells>
  <conditionalFormatting sqref="G42:G56 I42:I56 K42:K56 M42:M56 G62:G76 I62:I76 K62:K76 M62:M76">
    <cfRule type="cellIs" dxfId="7" priority="8" operator="notBetween">
      <formula>F42-0.05</formula>
      <formula>F42+0.05</formula>
    </cfRule>
  </conditionalFormatting>
  <conditionalFormatting sqref="G82:G96">
    <cfRule type="cellIs" dxfId="6" priority="7" operator="notBetween">
      <formula>F82-0.05*F82</formula>
      <formula>F82+0.05*F82</formula>
    </cfRule>
  </conditionalFormatting>
  <conditionalFormatting sqref="I82:I88 I90:I93 K90:K93 M90:M93 M82:M88 K82:K88">
    <cfRule type="cellIs" dxfId="5" priority="6" operator="greaterThan">
      <formula>0.05*G82</formula>
    </cfRule>
  </conditionalFormatting>
  <conditionalFormatting sqref="I89 I94:I96 K89 K94:K96 M89 M94:M96">
    <cfRule type="cellIs" dxfId="4" priority="5" operator="lessThan">
      <formula>0.95*H89</formula>
    </cfRule>
  </conditionalFormatting>
  <conditionalFormatting sqref="Y89 Y94:Y96 AA89 AA94:AA96 AC89 AC94:AC96">
    <cfRule type="cellIs" dxfId="3" priority="1" operator="lessThan">
      <formula>0.95*X89</formula>
    </cfRule>
  </conditionalFormatting>
  <conditionalFormatting sqref="W42:W56 Y42:Y56 AA42:AA56 AC42:AC56 W62:W76 Y62:Y76 AA62:AA76 AC62:AC76">
    <cfRule type="cellIs" dxfId="2" priority="4" operator="notBetween">
      <formula>V42-0.05</formula>
      <formula>V42+0.05</formula>
    </cfRule>
  </conditionalFormatting>
  <conditionalFormatting sqref="W82:W96">
    <cfRule type="cellIs" dxfId="1" priority="3" operator="notBetween">
      <formula>V82-0.05*V82</formula>
      <formula>V82+0.05*V82</formula>
    </cfRule>
  </conditionalFormatting>
  <conditionalFormatting sqref="Y82:Y88 Y90:Y93 AA90:AA93 AC90:AC93 AC82:AC88 AA82:AA88">
    <cfRule type="cellIs" dxfId="0" priority="2" operator="greaterThan">
      <formula>0.05*W82</formula>
    </cfRule>
  </conditionalFormatting>
  <pageMargins left="0.25" right="0.25" top="0.75" bottom="0.75" header="0.3" footer="0.3"/>
  <pageSetup paperSize="9" scale="55" orientation="portrait" horizontalDpi="4294967293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showGridLines="0" zoomScaleNormal="100" workbookViewId="0">
      <selection activeCell="D9" sqref="D9:E10"/>
    </sheetView>
  </sheetViews>
  <sheetFormatPr baseColWidth="10" defaultRowHeight="15"/>
  <cols>
    <col min="1" max="1" width="5.6640625" customWidth="1"/>
    <col min="2" max="2" width="46.33203125" customWidth="1"/>
    <col min="3" max="5" width="13.6640625" customWidth="1"/>
    <col min="6" max="6" width="13.6640625" style="209" customWidth="1"/>
    <col min="7" max="7" width="13.6640625" customWidth="1"/>
    <col min="8" max="8" width="46.33203125" customWidth="1"/>
    <col min="9" max="21" width="13.6640625" customWidth="1"/>
  </cols>
  <sheetData>
    <row r="1" spans="2:11">
      <c r="F1"/>
    </row>
    <row r="2" spans="2:11" ht="26.25">
      <c r="B2" s="2" t="s">
        <v>184</v>
      </c>
      <c r="F2"/>
    </row>
    <row r="3" spans="2:11" ht="26.25">
      <c r="B3" s="2"/>
      <c r="F3"/>
    </row>
    <row r="4" spans="2:11" ht="20.25">
      <c r="B4" s="207" t="s">
        <v>186</v>
      </c>
      <c r="H4" s="207" t="s">
        <v>185</v>
      </c>
    </row>
    <row r="5" spans="2:11" ht="18">
      <c r="B5" s="1"/>
    </row>
    <row r="6" spans="2:11" ht="18">
      <c r="B6" s="1" t="s">
        <v>8</v>
      </c>
      <c r="H6" s="1" t="s">
        <v>8</v>
      </c>
    </row>
    <row r="7" spans="2:11" ht="15.75" thickBot="1"/>
    <row r="8" spans="2:11" ht="15.6" customHeight="1">
      <c r="B8" s="497" t="s">
        <v>7</v>
      </c>
      <c r="C8" s="498"/>
      <c r="D8" s="498"/>
      <c r="E8" s="499"/>
      <c r="H8" s="497" t="s">
        <v>7</v>
      </c>
      <c r="I8" s="498"/>
      <c r="J8" s="498"/>
      <c r="K8" s="499"/>
    </row>
    <row r="9" spans="2:11">
      <c r="B9" s="500" t="s">
        <v>10</v>
      </c>
      <c r="C9" s="501"/>
      <c r="D9" s="502">
        <f>C21</f>
        <v>400000</v>
      </c>
      <c r="E9" s="503"/>
      <c r="H9" s="500" t="s">
        <v>10</v>
      </c>
      <c r="I9" s="501"/>
      <c r="J9" s="502">
        <f>I21</f>
        <v>500000</v>
      </c>
      <c r="K9" s="503"/>
    </row>
    <row r="10" spans="2:11" ht="15.75" thickBot="1">
      <c r="B10" s="504" t="s">
        <v>11</v>
      </c>
      <c r="C10" s="505"/>
      <c r="D10" s="506">
        <f>C28</f>
        <v>50000</v>
      </c>
      <c r="E10" s="507"/>
      <c r="H10" s="504" t="s">
        <v>11</v>
      </c>
      <c r="I10" s="505"/>
      <c r="J10" s="506">
        <f>I28</f>
        <v>50000</v>
      </c>
      <c r="K10" s="507"/>
    </row>
    <row r="11" spans="2:11" ht="16.5" thickBot="1">
      <c r="B11" s="493" t="s">
        <v>12</v>
      </c>
      <c r="C11" s="494"/>
      <c r="D11" s="495">
        <f>SUM(D9:E10)</f>
        <v>450000</v>
      </c>
      <c r="E11" s="496"/>
      <c r="H11" s="493" t="s">
        <v>12</v>
      </c>
      <c r="I11" s="494"/>
      <c r="J11" s="495">
        <f>SUM(J9:K10)</f>
        <v>550000</v>
      </c>
      <c r="K11" s="496"/>
    </row>
    <row r="14" spans="2:11" ht="18">
      <c r="B14" s="1" t="s">
        <v>15</v>
      </c>
      <c r="H14" s="1" t="s">
        <v>15</v>
      </c>
    </row>
    <row r="16" spans="2:11" ht="32.1" customHeight="1" thickBot="1">
      <c r="B16" s="18" t="s">
        <v>13</v>
      </c>
      <c r="C16" s="4" t="s">
        <v>14</v>
      </c>
      <c r="H16" s="18" t="s">
        <v>13</v>
      </c>
      <c r="I16" s="4" t="s">
        <v>14</v>
      </c>
    </row>
    <row r="17" spans="2:9">
      <c r="B17" s="16" t="s">
        <v>17</v>
      </c>
      <c r="C17" s="175">
        <f>Annahmen!F25</f>
        <v>100000</v>
      </c>
      <c r="H17" s="16" t="s">
        <v>188</v>
      </c>
      <c r="I17" s="175">
        <f>Annahmen!F26</f>
        <v>200000</v>
      </c>
    </row>
    <row r="18" spans="2:9">
      <c r="B18" s="17" t="s">
        <v>18</v>
      </c>
      <c r="C18" s="175">
        <f>Annahmen!F27</f>
        <v>100000</v>
      </c>
      <c r="H18" s="17" t="s">
        <v>18</v>
      </c>
      <c r="I18" s="175">
        <f>Annahmen!F27</f>
        <v>100000</v>
      </c>
    </row>
    <row r="19" spans="2:9">
      <c r="B19" s="17" t="s">
        <v>19</v>
      </c>
      <c r="C19" s="175">
        <f>Annahmen!F28</f>
        <v>100000</v>
      </c>
      <c r="H19" s="17" t="s">
        <v>19</v>
      </c>
      <c r="I19" s="175">
        <f>Annahmen!F28</f>
        <v>100000</v>
      </c>
    </row>
    <row r="20" spans="2:9">
      <c r="B20" s="17" t="s">
        <v>20</v>
      </c>
      <c r="C20" s="175">
        <f>Annahmen!F29</f>
        <v>100000</v>
      </c>
      <c r="H20" s="17" t="s">
        <v>20</v>
      </c>
      <c r="I20" s="175">
        <f>Annahmen!F29</f>
        <v>100000</v>
      </c>
    </row>
    <row r="21" spans="2:9" ht="15.75">
      <c r="B21" s="19" t="s">
        <v>21</v>
      </c>
      <c r="C21" s="9">
        <f>SUM(C17:C20)</f>
        <v>400000</v>
      </c>
      <c r="H21" s="19" t="s">
        <v>21</v>
      </c>
      <c r="I21" s="9">
        <f>SUM(I17:I20)</f>
        <v>500000</v>
      </c>
    </row>
    <row r="24" spans="2:9" ht="18">
      <c r="B24" s="1" t="s">
        <v>22</v>
      </c>
      <c r="H24" s="1" t="s">
        <v>22</v>
      </c>
    </row>
    <row r="26" spans="2:9" ht="32.25" thickBot="1">
      <c r="B26" s="18" t="s">
        <v>13</v>
      </c>
      <c r="C26" s="4" t="s">
        <v>14</v>
      </c>
      <c r="H26" s="18" t="s">
        <v>13</v>
      </c>
      <c r="I26" s="4" t="s">
        <v>14</v>
      </c>
    </row>
    <row r="27" spans="2:9">
      <c r="B27" s="16" t="s">
        <v>23</v>
      </c>
      <c r="C27" s="175">
        <f>Annahmen!F30</f>
        <v>50000</v>
      </c>
      <c r="H27" s="16" t="s">
        <v>23</v>
      </c>
      <c r="I27" s="175">
        <f>Annahmen!F30</f>
        <v>50000</v>
      </c>
    </row>
    <row r="28" spans="2:9" ht="15.75">
      <c r="B28" s="19" t="s">
        <v>11</v>
      </c>
      <c r="C28" s="9">
        <f>SUM(C27:C27)</f>
        <v>50000</v>
      </c>
      <c r="H28" s="19" t="s">
        <v>11</v>
      </c>
      <c r="I28" s="9">
        <f>SUM(I27:I27)</f>
        <v>50000</v>
      </c>
    </row>
  </sheetData>
  <sheetProtection algorithmName="SHA-512" hashValue="jMRT7k3BGqrNMEYrJvXisAmXVt45HNTSbpFwB5F+JikJd+JWVnX+ztj6OE3pZmAZwDQLqyMcagS+jTWZgfvu4A==" saltValue="uWDRqw83AG9TCNzL/JNtOw==" spinCount="100000" sheet="1" objects="1" scenarios="1"/>
  <mergeCells count="14">
    <mergeCell ref="B11:C11"/>
    <mergeCell ref="D11:E11"/>
    <mergeCell ref="B8:E8"/>
    <mergeCell ref="B9:C9"/>
    <mergeCell ref="D9:E9"/>
    <mergeCell ref="B10:C10"/>
    <mergeCell ref="D10:E10"/>
    <mergeCell ref="H11:I11"/>
    <mergeCell ref="J11:K11"/>
    <mergeCell ref="H8:K8"/>
    <mergeCell ref="H9:I9"/>
    <mergeCell ref="J9:K9"/>
    <mergeCell ref="H10:I10"/>
    <mergeCell ref="J10:K10"/>
  </mergeCells>
  <phoneticPr fontId="5" type="noConversion"/>
  <pageMargins left="0.25" right="0.25" top="0.75" bottom="0.75" header="0.3" footer="0.3"/>
  <pageSetup paperSize="9" scale="53" orientation="portrait" horizontalDpi="0" verticalDpi="0"/>
  <colBreaks count="1" manualBreakCount="1">
    <brk id="10" max="1048575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0"/>
  <sheetViews>
    <sheetView showGridLines="0" zoomScale="70" zoomScaleNormal="70" workbookViewId="0">
      <selection activeCell="L29" sqref="L29"/>
    </sheetView>
  </sheetViews>
  <sheetFormatPr baseColWidth="10" defaultRowHeight="15"/>
  <cols>
    <col min="1" max="1" width="5.6640625" customWidth="1"/>
    <col min="2" max="2" width="31.77734375" customWidth="1"/>
    <col min="3" max="5" width="13.6640625" customWidth="1"/>
    <col min="6" max="6" width="14.33203125" customWidth="1"/>
    <col min="7" max="8" width="13.6640625" customWidth="1"/>
    <col min="9" max="9" width="13.5546875" customWidth="1"/>
    <col min="10" max="10" width="14.5546875" style="209" customWidth="1"/>
    <col min="11" max="11" width="14.5546875" customWidth="1"/>
    <col min="12" max="12" width="31.77734375" customWidth="1"/>
    <col min="13" max="15" width="13.6640625" customWidth="1"/>
    <col min="16" max="16" width="14.33203125" customWidth="1"/>
    <col min="17" max="18" width="13.6640625" customWidth="1"/>
    <col min="19" max="19" width="13.5546875" customWidth="1"/>
  </cols>
  <sheetData>
    <row r="1" spans="2:19">
      <c r="J1"/>
    </row>
    <row r="2" spans="2:19" ht="26.25">
      <c r="B2" s="2" t="s">
        <v>187</v>
      </c>
      <c r="J2"/>
    </row>
    <row r="3" spans="2:19" ht="26.25">
      <c r="B3" s="2"/>
      <c r="J3"/>
    </row>
    <row r="4" spans="2:19" ht="20.25">
      <c r="B4" s="207" t="s">
        <v>186</v>
      </c>
      <c r="G4" s="35"/>
      <c r="L4" s="207" t="s">
        <v>185</v>
      </c>
    </row>
    <row r="5" spans="2:19" ht="18" customHeight="1">
      <c r="B5" s="1"/>
      <c r="G5" s="35"/>
    </row>
    <row r="6" spans="2:19" ht="15.95" customHeight="1">
      <c r="B6" s="1" t="s">
        <v>24</v>
      </c>
      <c r="L6" s="1" t="s">
        <v>24</v>
      </c>
    </row>
    <row r="7" spans="2:19" ht="15.95" customHeight="1" thickBot="1">
      <c r="B7" s="1"/>
      <c r="L7" s="1"/>
    </row>
    <row r="8" spans="2:19" ht="16.5" thickBot="1">
      <c r="B8" s="519" t="s">
        <v>24</v>
      </c>
      <c r="C8" s="520"/>
      <c r="D8" s="520"/>
      <c r="E8" s="520"/>
      <c r="F8" s="521"/>
      <c r="L8" s="519" t="s">
        <v>24</v>
      </c>
      <c r="M8" s="520"/>
      <c r="N8" s="520"/>
      <c r="O8" s="520"/>
      <c r="P8" s="521"/>
    </row>
    <row r="9" spans="2:19" ht="15.95" customHeight="1">
      <c r="B9" s="522" t="s">
        <v>25</v>
      </c>
      <c r="C9" s="523"/>
      <c r="D9" s="524">
        <f>F22</f>
        <v>540000</v>
      </c>
      <c r="E9" s="524"/>
      <c r="F9" s="525"/>
      <c r="L9" s="522" t="s">
        <v>25</v>
      </c>
      <c r="M9" s="523"/>
      <c r="N9" s="524">
        <f>P22</f>
        <v>610000</v>
      </c>
      <c r="O9" s="524"/>
      <c r="P9" s="525"/>
    </row>
    <row r="10" spans="2:19" ht="15.95" customHeight="1">
      <c r="B10" s="500" t="s">
        <v>26</v>
      </c>
      <c r="C10" s="501"/>
      <c r="D10" s="526">
        <f>H34</f>
        <v>86108.032000000007</v>
      </c>
      <c r="E10" s="502"/>
      <c r="F10" s="503"/>
      <c r="L10" s="500" t="s">
        <v>26</v>
      </c>
      <c r="M10" s="501"/>
      <c r="N10" s="526">
        <f>R34</f>
        <v>99919.655200000008</v>
      </c>
      <c r="O10" s="502"/>
      <c r="P10" s="503"/>
    </row>
    <row r="11" spans="2:19" ht="15.95" customHeight="1">
      <c r="B11" s="500" t="s">
        <v>27</v>
      </c>
      <c r="C11" s="501"/>
      <c r="D11" s="526">
        <f>F40</f>
        <v>344.61721600000004</v>
      </c>
      <c r="E11" s="502"/>
      <c r="F11" s="503"/>
      <c r="L11" s="500" t="s">
        <v>27</v>
      </c>
      <c r="M11" s="501"/>
      <c r="N11" s="526">
        <f>P40</f>
        <v>196.33433300000002</v>
      </c>
      <c r="O11" s="502"/>
      <c r="P11" s="503"/>
    </row>
    <row r="12" spans="2:19" ht="15.95" customHeight="1">
      <c r="B12" s="205" t="s">
        <v>175</v>
      </c>
      <c r="C12" s="206"/>
      <c r="D12" s="119"/>
      <c r="E12" s="120"/>
      <c r="F12" s="121">
        <f>E60</f>
        <v>150000</v>
      </c>
      <c r="L12" s="205" t="s">
        <v>175</v>
      </c>
      <c r="M12" s="206"/>
      <c r="N12" s="119"/>
      <c r="O12" s="120"/>
      <c r="P12" s="121">
        <f>O60</f>
        <v>150000</v>
      </c>
    </row>
    <row r="13" spans="2:19" ht="15.95" customHeight="1">
      <c r="B13" s="527" t="s">
        <v>29</v>
      </c>
      <c r="C13" s="528"/>
      <c r="D13" s="529">
        <f>SUM(D9:F12)</f>
        <v>776452.64921599999</v>
      </c>
      <c r="E13" s="530"/>
      <c r="F13" s="531"/>
      <c r="L13" s="527" t="s">
        <v>29</v>
      </c>
      <c r="M13" s="528"/>
      <c r="N13" s="529">
        <f>SUM(N9:P12)</f>
        <v>860115.98953300004</v>
      </c>
      <c r="O13" s="530"/>
      <c r="P13" s="531"/>
    </row>
    <row r="14" spans="2:19" ht="16.5" thickBot="1">
      <c r="B14" s="532" t="s">
        <v>28</v>
      </c>
      <c r="C14" s="533"/>
      <c r="D14" s="534">
        <f>D13*Annahmen!F16</f>
        <v>7764526.4921599999</v>
      </c>
      <c r="E14" s="535"/>
      <c r="F14" s="536"/>
      <c r="L14" s="532" t="s">
        <v>28</v>
      </c>
      <c r="M14" s="533"/>
      <c r="N14" s="534">
        <f>N13*Annahmen!F16</f>
        <v>8601159.8953300007</v>
      </c>
      <c r="O14" s="535"/>
      <c r="P14" s="536"/>
    </row>
    <row r="15" spans="2:19" ht="15.95" customHeight="1">
      <c r="B15" s="1"/>
      <c r="I15" s="35"/>
      <c r="J15" s="210"/>
      <c r="K15" s="35"/>
      <c r="L15" s="1"/>
      <c r="S15" s="35"/>
    </row>
    <row r="16" spans="2:19" ht="15.95" customHeight="1">
      <c r="B16" s="1"/>
      <c r="I16" s="35"/>
      <c r="J16" s="210"/>
      <c r="K16" s="35"/>
      <c r="L16" s="1"/>
      <c r="S16" s="35"/>
    </row>
    <row r="17" spans="2:19" ht="15.95" customHeight="1">
      <c r="B17" s="1" t="s">
        <v>35</v>
      </c>
      <c r="I17" s="35"/>
      <c r="J17" s="211"/>
      <c r="K17" s="36"/>
      <c r="L17" s="1" t="s">
        <v>35</v>
      </c>
      <c r="S17" s="35"/>
    </row>
    <row r="18" spans="2:19" ht="15.95" customHeight="1">
      <c r="I18" s="35"/>
      <c r="J18" s="210"/>
      <c r="K18" s="36"/>
      <c r="S18" s="35"/>
    </row>
    <row r="19" spans="2:19" ht="48" thickBot="1">
      <c r="B19" s="3" t="s">
        <v>36</v>
      </c>
      <c r="C19" s="4" t="s">
        <v>30</v>
      </c>
      <c r="D19" s="5" t="s">
        <v>31</v>
      </c>
      <c r="E19" s="5" t="s">
        <v>32</v>
      </c>
      <c r="F19" s="5" t="s">
        <v>34</v>
      </c>
      <c r="I19" s="35"/>
      <c r="J19" s="212"/>
      <c r="K19" s="36"/>
      <c r="L19" s="3" t="s">
        <v>36</v>
      </c>
      <c r="M19" s="4" t="s">
        <v>30</v>
      </c>
      <c r="N19" s="5" t="s">
        <v>31</v>
      </c>
      <c r="O19" s="5" t="s">
        <v>32</v>
      </c>
      <c r="P19" s="5" t="s">
        <v>34</v>
      </c>
      <c r="S19" s="35"/>
    </row>
    <row r="20" spans="2:19">
      <c r="B20" s="6" t="s">
        <v>54</v>
      </c>
      <c r="C20" s="39">
        <v>1</v>
      </c>
      <c r="D20" s="176">
        <f>Annahmen!F59</f>
        <v>60000</v>
      </c>
      <c r="E20" s="537">
        <f>Annahmen!F55</f>
        <v>2</v>
      </c>
      <c r="F20" s="178">
        <f>C20*D20*$E$20</f>
        <v>120000</v>
      </c>
      <c r="I20" s="35"/>
      <c r="J20" s="210"/>
      <c r="K20" s="36"/>
      <c r="L20" s="6" t="s">
        <v>54</v>
      </c>
      <c r="M20" s="39">
        <v>1</v>
      </c>
      <c r="N20" s="176">
        <f>Annahmen!F59</f>
        <v>60000</v>
      </c>
      <c r="O20" s="537">
        <f>Annahmen!F55</f>
        <v>2</v>
      </c>
      <c r="P20" s="178">
        <f>M20*N20*$E$20</f>
        <v>120000</v>
      </c>
      <c r="S20" s="35"/>
    </row>
    <row r="21" spans="2:19" ht="15.75" thickBot="1">
      <c r="B21" s="8" t="s">
        <v>55</v>
      </c>
      <c r="C21" s="40">
        <f>Prozessberechnung!F16</f>
        <v>6</v>
      </c>
      <c r="D21" s="177">
        <f>Annahmen!F60</f>
        <v>35000</v>
      </c>
      <c r="E21" s="538"/>
      <c r="F21" s="179">
        <f>C21*D21*$E$20</f>
        <v>420000</v>
      </c>
      <c r="G21" s="10"/>
      <c r="I21" s="35"/>
      <c r="J21" s="210"/>
      <c r="K21" s="36"/>
      <c r="L21" s="8" t="s">
        <v>55</v>
      </c>
      <c r="M21" s="40">
        <f>Prozessberechnung!V16</f>
        <v>7</v>
      </c>
      <c r="N21" s="177">
        <f>Annahmen!F60</f>
        <v>35000</v>
      </c>
      <c r="O21" s="538"/>
      <c r="P21" s="179">
        <f>M21*N21*$E$20</f>
        <v>490000</v>
      </c>
      <c r="Q21" s="10"/>
      <c r="S21" s="35"/>
    </row>
    <row r="22" spans="2:19" ht="15.75">
      <c r="B22" s="24" t="s">
        <v>72</v>
      </c>
      <c r="C22" s="25">
        <f>SUM(C20:C21)</f>
        <v>7</v>
      </c>
      <c r="D22" s="27"/>
      <c r="E22" s="26"/>
      <c r="F22" s="28">
        <f>SUM(F20:F21)</f>
        <v>540000</v>
      </c>
      <c r="L22" s="24" t="s">
        <v>72</v>
      </c>
      <c r="M22" s="25">
        <f>SUM(M20:M21)</f>
        <v>8</v>
      </c>
      <c r="N22" s="27"/>
      <c r="O22" s="26"/>
      <c r="P22" s="28">
        <f>SUM(P20:P21)</f>
        <v>610000</v>
      </c>
    </row>
    <row r="25" spans="2:19" ht="18">
      <c r="B25" s="1" t="s">
        <v>37</v>
      </c>
      <c r="J25" s="211"/>
      <c r="K25" s="36"/>
      <c r="L25" s="1" t="s">
        <v>37</v>
      </c>
    </row>
    <row r="26" spans="2:19">
      <c r="J26" s="210"/>
      <c r="K26" s="36"/>
    </row>
    <row r="27" spans="2:19" ht="50.1" customHeight="1" thickBot="1">
      <c r="B27" s="18" t="s">
        <v>13</v>
      </c>
      <c r="C27" s="5" t="s">
        <v>38</v>
      </c>
      <c r="D27" s="5" t="s">
        <v>39</v>
      </c>
      <c r="E27" s="5" t="s">
        <v>81</v>
      </c>
      <c r="F27" s="5" t="s">
        <v>133</v>
      </c>
      <c r="G27" s="5" t="s">
        <v>40</v>
      </c>
      <c r="H27" s="5" t="s">
        <v>41</v>
      </c>
      <c r="I27" s="5" t="s">
        <v>42</v>
      </c>
      <c r="J27" s="213"/>
      <c r="K27" s="42"/>
      <c r="L27" s="18" t="s">
        <v>13</v>
      </c>
      <c r="M27" s="5" t="s">
        <v>38</v>
      </c>
      <c r="N27" s="5" t="s">
        <v>39</v>
      </c>
      <c r="O27" s="5" t="s">
        <v>81</v>
      </c>
      <c r="P27" s="5" t="s">
        <v>133</v>
      </c>
      <c r="Q27" s="5" t="s">
        <v>40</v>
      </c>
      <c r="R27" s="5" t="s">
        <v>41</v>
      </c>
      <c r="S27" s="5" t="s">
        <v>42</v>
      </c>
    </row>
    <row r="28" spans="2:19">
      <c r="B28" s="16" t="s">
        <v>16</v>
      </c>
      <c r="C28" s="187">
        <f>Annahmen!F32</f>
        <v>0.9</v>
      </c>
      <c r="D28" s="188">
        <f>Annahmen!F39</f>
        <v>10000</v>
      </c>
      <c r="E28" s="188">
        <f>Annahmen!F46</f>
        <v>20</v>
      </c>
      <c r="F28" s="189">
        <f>Annahmen!F18</f>
        <v>20</v>
      </c>
      <c r="G28" s="73">
        <f>Annahmen!$F$7/'Betriebs- &amp; Wartungskosten'!F28</f>
        <v>2500</v>
      </c>
      <c r="H28" s="508">
        <f>Annahmen!F8</f>
        <v>0.18</v>
      </c>
      <c r="I28" s="180">
        <f>E28*G28*$H$28/C28</f>
        <v>10000</v>
      </c>
      <c r="J28" s="210"/>
      <c r="K28" s="38"/>
      <c r="L28" s="16" t="s">
        <v>189</v>
      </c>
      <c r="M28" s="187">
        <f>Annahmen!F33</f>
        <v>0.9</v>
      </c>
      <c r="N28" s="188">
        <f>Annahmen!F40</f>
        <v>15000</v>
      </c>
      <c r="O28" s="188">
        <f>Annahmen!F47</f>
        <v>20</v>
      </c>
      <c r="P28" s="189">
        <f>Annahmen!F19</f>
        <v>10</v>
      </c>
      <c r="Q28" s="73">
        <f>Annahmen!$F$7/'Betriebs- &amp; Wartungskosten'!P28</f>
        <v>5000</v>
      </c>
      <c r="R28" s="508">
        <f>Annahmen!F8</f>
        <v>0.18</v>
      </c>
      <c r="S28" s="180">
        <f>O28*Q28*$R$28/M28</f>
        <v>20000</v>
      </c>
    </row>
    <row r="29" spans="2:19">
      <c r="B29" s="17" t="s">
        <v>46</v>
      </c>
      <c r="C29" s="190">
        <f>Annahmen!F34</f>
        <v>0.9</v>
      </c>
      <c r="D29" s="191">
        <f>Annahmen!F41</f>
        <v>10000</v>
      </c>
      <c r="E29" s="191">
        <f>Annahmen!F48</f>
        <v>20</v>
      </c>
      <c r="F29" s="192">
        <f>Annahmen!F20</f>
        <v>10</v>
      </c>
      <c r="G29" s="52">
        <f>Prozessberechnung!G57*Annahmen!$F$7/'Betriebs- &amp; Wartungskosten'!F29</f>
        <v>3983.7599999999998</v>
      </c>
      <c r="H29" s="509"/>
      <c r="I29" s="181">
        <f t="shared" ref="I29:I32" si="0">E29*G29*$H$28/C29</f>
        <v>15935.039999999997</v>
      </c>
      <c r="J29" s="210"/>
      <c r="K29" s="38"/>
      <c r="L29" s="17" t="s">
        <v>46</v>
      </c>
      <c r="M29" s="190">
        <f>Annahmen!F34</f>
        <v>0.9</v>
      </c>
      <c r="N29" s="191">
        <f>Annahmen!F41</f>
        <v>10000</v>
      </c>
      <c r="O29" s="191">
        <f>Annahmen!F48</f>
        <v>20</v>
      </c>
      <c r="P29" s="192">
        <f>Annahmen!F20</f>
        <v>10</v>
      </c>
      <c r="Q29" s="52">
        <f>Prozessberechnung!W57*Annahmen!$F$7/'Betriebs- &amp; Wartungskosten'!P29</f>
        <v>4730.7149999999992</v>
      </c>
      <c r="R29" s="509"/>
      <c r="S29" s="181">
        <f t="shared" ref="S29:S32" si="1">O29*Q29*$R$28/M29</f>
        <v>18922.859999999997</v>
      </c>
    </row>
    <row r="30" spans="2:19">
      <c r="B30" s="17" t="s">
        <v>80</v>
      </c>
      <c r="C30" s="190">
        <f>Annahmen!F35</f>
        <v>0.9</v>
      </c>
      <c r="D30" s="191">
        <f>Annahmen!F42</f>
        <v>10000</v>
      </c>
      <c r="E30" s="191">
        <f>Annahmen!F49</f>
        <v>20</v>
      </c>
      <c r="F30" s="193">
        <f>Annahmen!F21</f>
        <v>1</v>
      </c>
      <c r="G30" s="52">
        <f>Prozessberechnung!I57*Annahmen!$F$7/'Betriebs- &amp; Wartungskosten'!F30</f>
        <v>2122.0800000000013</v>
      </c>
      <c r="H30" s="509"/>
      <c r="I30" s="181">
        <f t="shared" si="0"/>
        <v>8488.3200000000052</v>
      </c>
      <c r="J30" s="210"/>
      <c r="K30" s="38"/>
      <c r="L30" s="17" t="s">
        <v>80</v>
      </c>
      <c r="M30" s="190">
        <f>Annahmen!F35</f>
        <v>0.9</v>
      </c>
      <c r="N30" s="191">
        <f>Annahmen!F42</f>
        <v>10000</v>
      </c>
      <c r="O30" s="191">
        <f>Annahmen!F49</f>
        <v>20</v>
      </c>
      <c r="P30" s="193">
        <f>Annahmen!F21</f>
        <v>1</v>
      </c>
      <c r="Q30" s="52">
        <f>Prozessberechnung!Y57*Annahmen!$F$7/'Betriebs- &amp; Wartungskosten'!P30</f>
        <v>1127.5550000000003</v>
      </c>
      <c r="R30" s="509"/>
      <c r="S30" s="181">
        <f t="shared" si="1"/>
        <v>4510.2200000000012</v>
      </c>
    </row>
    <row r="31" spans="2:19">
      <c r="B31" s="17" t="s">
        <v>47</v>
      </c>
      <c r="C31" s="190">
        <f>Annahmen!F36</f>
        <v>0.9</v>
      </c>
      <c r="D31" s="191">
        <f>Annahmen!F43</f>
        <v>10000</v>
      </c>
      <c r="E31" s="191">
        <f>Annahmen!F50</f>
        <v>20</v>
      </c>
      <c r="F31" s="194">
        <f>Annahmen!F22</f>
        <v>0.5</v>
      </c>
      <c r="G31" s="52">
        <f>Prozessberechnung!K57*Annahmen!$F$7/'Betriebs- &amp; Wartungskosten'!F31</f>
        <v>421.16799999999995</v>
      </c>
      <c r="H31" s="509"/>
      <c r="I31" s="181">
        <f t="shared" si="0"/>
        <v>1684.6719999999996</v>
      </c>
      <c r="J31" s="210"/>
      <c r="K31" s="38"/>
      <c r="L31" s="17" t="s">
        <v>47</v>
      </c>
      <c r="M31" s="190">
        <f>Annahmen!F36</f>
        <v>0.9</v>
      </c>
      <c r="N31" s="191">
        <f>Annahmen!F43</f>
        <v>10000</v>
      </c>
      <c r="O31" s="191">
        <f>Annahmen!F50</f>
        <v>20</v>
      </c>
      <c r="P31" s="194">
        <f>Annahmen!F22</f>
        <v>0.5</v>
      </c>
      <c r="Q31" s="52">
        <f>Prozessberechnung!AA57*Annahmen!$F$7/'Betriebs- &amp; Wartungskosten'!P31</f>
        <v>371.64380000000006</v>
      </c>
      <c r="R31" s="509"/>
      <c r="S31" s="181">
        <f t="shared" si="1"/>
        <v>1486.5752000000002</v>
      </c>
    </row>
    <row r="32" spans="2:19" ht="15.75" thickBot="1">
      <c r="B32" s="41" t="s">
        <v>56</v>
      </c>
      <c r="C32" s="195">
        <f>Annahmen!F37</f>
        <v>0.9</v>
      </c>
      <c r="D32" s="196">
        <f>Annahmen!F44</f>
        <v>5000</v>
      </c>
      <c r="E32" s="197">
        <f>Annahmen!F51</f>
        <v>10</v>
      </c>
      <c r="F32" s="198">
        <f>Annahmen!F23</f>
        <v>20</v>
      </c>
      <c r="G32" s="74">
        <f>Annahmen!$F$7/'Betriebs- &amp; Wartungskosten'!F32</f>
        <v>2500</v>
      </c>
      <c r="H32" s="510"/>
      <c r="I32" s="182">
        <f t="shared" si="0"/>
        <v>5000</v>
      </c>
      <c r="J32" s="210"/>
      <c r="K32" s="38"/>
      <c r="L32" s="41" t="s">
        <v>56</v>
      </c>
      <c r="M32" s="195">
        <f>Annahmen!F37</f>
        <v>0.9</v>
      </c>
      <c r="N32" s="196">
        <f>Annahmen!F44</f>
        <v>5000</v>
      </c>
      <c r="O32" s="197">
        <f>Annahmen!F51</f>
        <v>10</v>
      </c>
      <c r="P32" s="198">
        <f>Annahmen!F23</f>
        <v>20</v>
      </c>
      <c r="Q32" s="74">
        <f>Annahmen!$F$7/'Betriebs- &amp; Wartungskosten'!P32</f>
        <v>2500</v>
      </c>
      <c r="R32" s="510"/>
      <c r="S32" s="182">
        <f t="shared" si="1"/>
        <v>5000</v>
      </c>
    </row>
    <row r="33" spans="2:19" ht="16.5" thickBot="1">
      <c r="B33" s="20" t="s">
        <v>43</v>
      </c>
      <c r="C33" s="511">
        <f>SUM(D28:D32)</f>
        <v>45000</v>
      </c>
      <c r="D33" s="512"/>
      <c r="E33" s="513">
        <f>SUM(I28:I32)</f>
        <v>41108.031999999999</v>
      </c>
      <c r="F33" s="514"/>
      <c r="G33" s="514"/>
      <c r="H33" s="514"/>
      <c r="I33" s="515"/>
      <c r="L33" s="20" t="s">
        <v>43</v>
      </c>
      <c r="M33" s="511">
        <f>SUM(N28:N32)</f>
        <v>50000</v>
      </c>
      <c r="N33" s="512"/>
      <c r="O33" s="513">
        <f>SUM(S28:S32)</f>
        <v>49919.655200000001</v>
      </c>
      <c r="P33" s="514"/>
      <c r="Q33" s="514"/>
      <c r="R33" s="514"/>
      <c r="S33" s="515"/>
    </row>
    <row r="34" spans="2:19" ht="15.75">
      <c r="B34" s="19" t="s">
        <v>45</v>
      </c>
      <c r="C34" s="31"/>
      <c r="D34" s="32"/>
      <c r="E34" s="72"/>
      <c r="F34" s="72"/>
      <c r="G34" s="72"/>
      <c r="H34" s="516">
        <f>C33+E33</f>
        <v>86108.032000000007</v>
      </c>
      <c r="I34" s="517"/>
      <c r="L34" s="19" t="s">
        <v>45</v>
      </c>
      <c r="M34" s="31"/>
      <c r="N34" s="32"/>
      <c r="O34" s="72"/>
      <c r="P34" s="72"/>
      <c r="Q34" s="72"/>
      <c r="R34" s="516">
        <f>M33+O33</f>
        <v>99919.655200000008</v>
      </c>
      <c r="S34" s="517"/>
    </row>
    <row r="35" spans="2:19">
      <c r="K35" s="113"/>
    </row>
    <row r="37" spans="2:19" ht="18">
      <c r="B37" s="1" t="s">
        <v>44</v>
      </c>
      <c r="L37" s="1" t="s">
        <v>44</v>
      </c>
    </row>
    <row r="38" spans="2:19">
      <c r="K38" s="114"/>
    </row>
    <row r="39" spans="2:19" ht="48" thickBot="1">
      <c r="B39" s="15"/>
      <c r="C39" s="21" t="s">
        <v>49</v>
      </c>
      <c r="D39" s="21" t="s">
        <v>109</v>
      </c>
      <c r="E39" s="21" t="s">
        <v>111</v>
      </c>
      <c r="F39" s="4" t="s">
        <v>50</v>
      </c>
      <c r="L39" s="15"/>
      <c r="M39" s="21" t="s">
        <v>49</v>
      </c>
      <c r="N39" s="21" t="s">
        <v>109</v>
      </c>
      <c r="O39" s="21" t="s">
        <v>111</v>
      </c>
      <c r="P39" s="4" t="s">
        <v>50</v>
      </c>
    </row>
    <row r="40" spans="2:19" ht="15.75" thickBot="1">
      <c r="B40" s="220" t="s">
        <v>48</v>
      </c>
      <c r="C40" s="51">
        <f>(Annahmen!F7-Einnahmen!D7-Einnahmen!D13)/100000</f>
        <v>0.17230860800000003</v>
      </c>
      <c r="D40" s="22">
        <f>C40*Annahmen!F7</f>
        <v>8615.4304000000011</v>
      </c>
      <c r="E40" s="183">
        <f>Annahmen!F12</f>
        <v>40</v>
      </c>
      <c r="F40" s="180">
        <f>D40*E40/1000</f>
        <v>344.61721600000004</v>
      </c>
      <c r="L40" s="220" t="s">
        <v>48</v>
      </c>
      <c r="M40" s="51">
        <f>(Annahmen!F7-Einnahmen!I7-Einnahmen!I13)/100000</f>
        <v>9.81671665E-2</v>
      </c>
      <c r="N40" s="22">
        <f>M40*Annahmen!F7</f>
        <v>4908.3583250000001</v>
      </c>
      <c r="O40" s="183">
        <f>Annahmen!F12</f>
        <v>40</v>
      </c>
      <c r="P40" s="180">
        <f>N40*O40/1000</f>
        <v>196.33433300000002</v>
      </c>
    </row>
    <row r="41" spans="2:19" ht="15.75">
      <c r="B41" s="19" t="s">
        <v>73</v>
      </c>
      <c r="C41" s="518">
        <f>F40</f>
        <v>344.61721600000004</v>
      </c>
      <c r="D41" s="516"/>
      <c r="E41" s="516"/>
      <c r="F41" s="517"/>
      <c r="L41" s="19" t="s">
        <v>73</v>
      </c>
      <c r="M41" s="518">
        <f>P40</f>
        <v>196.33433300000002</v>
      </c>
      <c r="N41" s="516"/>
      <c r="O41" s="516"/>
      <c r="P41" s="517"/>
    </row>
    <row r="44" spans="2:19" ht="15.75">
      <c r="B44" s="48" t="s">
        <v>100</v>
      </c>
      <c r="L44" s="48" t="s">
        <v>100</v>
      </c>
    </row>
    <row r="46" spans="2:19" ht="48" thickBot="1">
      <c r="B46" s="18" t="s">
        <v>101</v>
      </c>
      <c r="C46" s="5" t="s">
        <v>143</v>
      </c>
      <c r="D46" s="5" t="s">
        <v>102</v>
      </c>
      <c r="E46" s="5" t="s">
        <v>0</v>
      </c>
      <c r="F46" s="5" t="s">
        <v>103</v>
      </c>
      <c r="L46" s="18" t="s">
        <v>101</v>
      </c>
      <c r="M46" s="5" t="s">
        <v>143</v>
      </c>
      <c r="N46" s="5" t="s">
        <v>102</v>
      </c>
      <c r="O46" s="5" t="s">
        <v>0</v>
      </c>
      <c r="P46" s="5" t="s">
        <v>103</v>
      </c>
    </row>
    <row r="47" spans="2:19">
      <c r="B47" s="16" t="s">
        <v>16</v>
      </c>
      <c r="C47" s="539">
        <f>Annahmen!F10</f>
        <v>0.5</v>
      </c>
      <c r="D47" s="76">
        <f>$C$47*E28*G28/(1000*C28)</f>
        <v>27.777777777777779</v>
      </c>
      <c r="E47" s="542">
        <f>Annahmen!F9</f>
        <v>25</v>
      </c>
      <c r="F47" s="45">
        <f t="shared" ref="F47:F52" si="2">$E$47*D47</f>
        <v>694.44444444444446</v>
      </c>
      <c r="L47" s="16" t="s">
        <v>189</v>
      </c>
      <c r="M47" s="539">
        <f>Annahmen!F10</f>
        <v>0.5</v>
      </c>
      <c r="N47" s="76">
        <f>$M$47*O28*Q28/(1000*M28)</f>
        <v>55.555555555555557</v>
      </c>
      <c r="O47" s="542">
        <f>Annahmen!F9</f>
        <v>25</v>
      </c>
      <c r="P47" s="45">
        <f>$O$47*N47</f>
        <v>1388.8888888888889</v>
      </c>
    </row>
    <row r="48" spans="2:19">
      <c r="B48" s="17" t="s">
        <v>46</v>
      </c>
      <c r="C48" s="540"/>
      <c r="D48" s="77">
        <f t="shared" ref="D48:D51" si="3">$C$47*E29*G29/(1000*C29)</f>
        <v>44.263999999999996</v>
      </c>
      <c r="E48" s="543"/>
      <c r="F48" s="46">
        <f t="shared" si="2"/>
        <v>1106.5999999999999</v>
      </c>
      <c r="L48" s="17" t="s">
        <v>46</v>
      </c>
      <c r="M48" s="540"/>
      <c r="N48" s="77">
        <f t="shared" ref="N48:N51" si="4">$M$47*O29*Q29/(1000*M29)</f>
        <v>52.563499999999991</v>
      </c>
      <c r="O48" s="543"/>
      <c r="P48" s="46">
        <f t="shared" ref="P48:P51" si="5">$O$47*N48</f>
        <v>1314.0874999999999</v>
      </c>
    </row>
    <row r="49" spans="2:16">
      <c r="B49" s="17" t="s">
        <v>80</v>
      </c>
      <c r="C49" s="540"/>
      <c r="D49" s="77">
        <f t="shared" si="3"/>
        <v>23.578666666666681</v>
      </c>
      <c r="E49" s="543"/>
      <c r="F49" s="46">
        <f t="shared" si="2"/>
        <v>589.46666666666704</v>
      </c>
      <c r="L49" s="17" t="s">
        <v>80</v>
      </c>
      <c r="M49" s="540"/>
      <c r="N49" s="77">
        <f t="shared" si="4"/>
        <v>12.528388888888893</v>
      </c>
      <c r="O49" s="543"/>
      <c r="P49" s="46">
        <f t="shared" si="5"/>
        <v>313.2097222222223</v>
      </c>
    </row>
    <row r="50" spans="2:16">
      <c r="B50" s="17" t="s">
        <v>47</v>
      </c>
      <c r="C50" s="540"/>
      <c r="D50" s="77">
        <f t="shared" si="3"/>
        <v>4.6796444444444436</v>
      </c>
      <c r="E50" s="543"/>
      <c r="F50" s="46">
        <f t="shared" si="2"/>
        <v>116.9911111111111</v>
      </c>
      <c r="L50" s="17" t="s">
        <v>47</v>
      </c>
      <c r="M50" s="540"/>
      <c r="N50" s="77">
        <f t="shared" si="4"/>
        <v>4.1293755555555558</v>
      </c>
      <c r="O50" s="543"/>
      <c r="P50" s="46">
        <f t="shared" si="5"/>
        <v>103.2343888888889</v>
      </c>
    </row>
    <row r="51" spans="2:16" ht="15.75" thickBot="1">
      <c r="B51" s="41" t="s">
        <v>56</v>
      </c>
      <c r="C51" s="541"/>
      <c r="D51" s="78">
        <f t="shared" si="3"/>
        <v>13.888888888888889</v>
      </c>
      <c r="E51" s="544"/>
      <c r="F51" s="47">
        <f t="shared" si="2"/>
        <v>347.22222222222223</v>
      </c>
      <c r="L51" s="41" t="s">
        <v>56</v>
      </c>
      <c r="M51" s="541"/>
      <c r="N51" s="78">
        <f t="shared" si="4"/>
        <v>13.888888888888889</v>
      </c>
      <c r="O51" s="544"/>
      <c r="P51" s="47">
        <f t="shared" si="5"/>
        <v>347.22222222222223</v>
      </c>
    </row>
    <row r="52" spans="2:16" ht="16.5" thickBot="1">
      <c r="B52" s="20" t="s">
        <v>104</v>
      </c>
      <c r="C52" s="49"/>
      <c r="D52" s="50">
        <f>SUM(D47:D51)</f>
        <v>114.18897777777779</v>
      </c>
      <c r="E52" s="50"/>
      <c r="F52" s="50">
        <f t="shared" si="2"/>
        <v>2854.724444444445</v>
      </c>
      <c r="L52" s="20" t="s">
        <v>104</v>
      </c>
      <c r="M52" s="49"/>
      <c r="N52" s="50">
        <f>SUM(N47:N51)</f>
        <v>138.6657088888889</v>
      </c>
      <c r="O52" s="50"/>
      <c r="P52" s="50">
        <f t="shared" ref="P52" si="6">$E$47*N52</f>
        <v>3466.6427222222223</v>
      </c>
    </row>
    <row r="53" spans="2:16" ht="15.75">
      <c r="B53" s="19" t="s">
        <v>105</v>
      </c>
      <c r="C53" s="31"/>
      <c r="D53" s="32"/>
      <c r="E53" s="32"/>
      <c r="F53" s="33">
        <f>SUM(F47:F52)</f>
        <v>5709.44888888889</v>
      </c>
      <c r="L53" s="19" t="s">
        <v>105</v>
      </c>
      <c r="M53" s="31"/>
      <c r="N53" s="32"/>
      <c r="O53" s="32"/>
      <c r="P53" s="33">
        <f>SUM(P47:P52)</f>
        <v>6933.2854444444447</v>
      </c>
    </row>
    <row r="56" spans="2:16" ht="18">
      <c r="B56" s="1" t="s">
        <v>171</v>
      </c>
      <c r="L56" s="1" t="s">
        <v>171</v>
      </c>
    </row>
    <row r="58" spans="2:16" ht="32.25" thickBot="1">
      <c r="B58" s="15"/>
      <c r="C58" s="21" t="s">
        <v>172</v>
      </c>
      <c r="D58" s="21" t="s">
        <v>173</v>
      </c>
      <c r="E58" s="4" t="s">
        <v>50</v>
      </c>
      <c r="L58" s="15"/>
      <c r="M58" s="21" t="s">
        <v>172</v>
      </c>
      <c r="N58" s="21" t="s">
        <v>173</v>
      </c>
      <c r="O58" s="4" t="s">
        <v>50</v>
      </c>
    </row>
    <row r="59" spans="2:16">
      <c r="B59" s="16" t="s">
        <v>171</v>
      </c>
      <c r="C59" s="204">
        <f>Annahmen!F7</f>
        <v>50000</v>
      </c>
      <c r="D59" s="201">
        <f>Annahmen!F11</f>
        <v>3</v>
      </c>
      <c r="E59" s="180">
        <f>C59*D59</f>
        <v>150000</v>
      </c>
      <c r="L59" s="16" t="s">
        <v>171</v>
      </c>
      <c r="M59" s="204">
        <f>Annahmen!F7</f>
        <v>50000</v>
      </c>
      <c r="N59" s="201">
        <f>Annahmen!F11</f>
        <v>3</v>
      </c>
      <c r="O59" s="180">
        <f>M59*N59</f>
        <v>150000</v>
      </c>
    </row>
    <row r="60" spans="2:16" ht="15.75">
      <c r="B60" s="199" t="s">
        <v>174</v>
      </c>
      <c r="C60" s="200"/>
      <c r="D60" s="202"/>
      <c r="E60" s="203">
        <f>E59</f>
        <v>150000</v>
      </c>
      <c r="L60" s="199" t="s">
        <v>174</v>
      </c>
      <c r="M60" s="200"/>
      <c r="N60" s="202"/>
      <c r="O60" s="203">
        <f>O59</f>
        <v>150000</v>
      </c>
    </row>
  </sheetData>
  <sheetProtection algorithmName="SHA-512" hashValue="Rw7vhandU/Xqra61YGomERe8DMPHAaEe8y1NBMgmJ2vF1gBqTujl3xzLOULtiCGG6CO8z6OQcrfMdFdYiMgeNQ==" saltValue="756EsF100objLJEFVLt21w==" spinCount="100000" sheet="1" objects="1" scenarios="1"/>
  <mergeCells count="38">
    <mergeCell ref="B8:F8"/>
    <mergeCell ref="D9:F9"/>
    <mergeCell ref="B9:C9"/>
    <mergeCell ref="B14:C14"/>
    <mergeCell ref="D10:F10"/>
    <mergeCell ref="D11:F11"/>
    <mergeCell ref="B11:C11"/>
    <mergeCell ref="B10:C10"/>
    <mergeCell ref="O20:O21"/>
    <mergeCell ref="M47:M51"/>
    <mergeCell ref="O47:O51"/>
    <mergeCell ref="D13:F13"/>
    <mergeCell ref="B13:C13"/>
    <mergeCell ref="D14:F14"/>
    <mergeCell ref="E20:E21"/>
    <mergeCell ref="C33:D33"/>
    <mergeCell ref="E33:I33"/>
    <mergeCell ref="H28:H32"/>
    <mergeCell ref="E47:E51"/>
    <mergeCell ref="C41:F41"/>
    <mergeCell ref="H34:I34"/>
    <mergeCell ref="C47:C51"/>
    <mergeCell ref="L11:M11"/>
    <mergeCell ref="N11:P11"/>
    <mergeCell ref="L13:M13"/>
    <mergeCell ref="N13:P13"/>
    <mergeCell ref="L14:M14"/>
    <mergeCell ref="N14:P14"/>
    <mergeCell ref="L8:P8"/>
    <mergeCell ref="L9:M9"/>
    <mergeCell ref="N9:P9"/>
    <mergeCell ref="L10:M10"/>
    <mergeCell ref="N10:P10"/>
    <mergeCell ref="R28:R32"/>
    <mergeCell ref="M33:N33"/>
    <mergeCell ref="O33:S33"/>
    <mergeCell ref="R34:S34"/>
    <mergeCell ref="M41:P41"/>
  </mergeCells>
  <phoneticPr fontId="5" type="noConversion"/>
  <pageMargins left="0.25" right="0.25" top="0.75" bottom="0.75" header="0.3" footer="0.3"/>
  <pageSetup paperSize="9" scale="45" orientation="landscape" horizontalDpi="0" verticalDpi="0"/>
  <rowBreaks count="1" manualBreakCount="1">
    <brk id="36" max="16383" man="1"/>
  </rowBreaks>
  <colBreaks count="1" manualBreakCount="1">
    <brk id="15" max="1048575" man="1"/>
  </col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"/>
  <sheetViews>
    <sheetView showGridLines="0" workbookViewId="0">
      <selection activeCell="E12" sqref="A1:XFD1048576"/>
    </sheetView>
  </sheetViews>
  <sheetFormatPr baseColWidth="10" defaultRowHeight="15"/>
  <cols>
    <col min="1" max="1" width="5.6640625" customWidth="1"/>
    <col min="2" max="2" width="30.6640625" customWidth="1"/>
    <col min="3" max="6" width="13.6640625" customWidth="1"/>
    <col min="7" max="7" width="13.6640625" style="209" customWidth="1"/>
    <col min="8" max="8" width="13.6640625" customWidth="1"/>
    <col min="9" max="9" width="30.6640625" customWidth="1"/>
    <col min="10" max="12" width="13.6640625" customWidth="1"/>
  </cols>
  <sheetData>
    <row r="1" spans="2:12">
      <c r="G1"/>
    </row>
    <row r="2" spans="2:12" ht="26.25">
      <c r="B2" s="2" t="s">
        <v>206</v>
      </c>
      <c r="G2"/>
    </row>
    <row r="3" spans="2:12" ht="18">
      <c r="B3" s="1"/>
      <c r="G3"/>
    </row>
    <row r="4" spans="2:12" ht="20.25">
      <c r="B4" s="207" t="s">
        <v>186</v>
      </c>
      <c r="I4" s="207" t="s">
        <v>185</v>
      </c>
    </row>
    <row r="6" spans="2:12" ht="15.95" customHeight="1" thickBot="1">
      <c r="B6" s="548" t="s">
        <v>51</v>
      </c>
      <c r="C6" s="549"/>
      <c r="D6" s="549"/>
      <c r="E6" s="550"/>
      <c r="I6" s="548" t="s">
        <v>51</v>
      </c>
      <c r="J6" s="549"/>
      <c r="K6" s="549"/>
      <c r="L6" s="550"/>
    </row>
    <row r="7" spans="2:12">
      <c r="B7" s="551" t="s">
        <v>52</v>
      </c>
      <c r="C7" s="552"/>
      <c r="D7" s="553">
        <f>Investitionskosten!D11:E11</f>
        <v>450000</v>
      </c>
      <c r="E7" s="554"/>
      <c r="I7" s="551" t="s">
        <v>52</v>
      </c>
      <c r="J7" s="552"/>
      <c r="K7" s="553">
        <f>Investitionskosten!$J$11</f>
        <v>550000</v>
      </c>
      <c r="L7" s="554"/>
    </row>
    <row r="8" spans="2:12" ht="15.75" thickBot="1">
      <c r="B8" s="555" t="s">
        <v>53</v>
      </c>
      <c r="C8" s="556"/>
      <c r="D8" s="557">
        <f>'Betriebs- &amp; Wartungskosten'!D14:F14</f>
        <v>7764526.4921599999</v>
      </c>
      <c r="E8" s="558"/>
      <c r="I8" s="555" t="s">
        <v>53</v>
      </c>
      <c r="J8" s="556"/>
      <c r="K8" s="557">
        <f>'Betriebs- &amp; Wartungskosten'!N14</f>
        <v>8601159.8953300007</v>
      </c>
      <c r="L8" s="558"/>
    </row>
    <row r="9" spans="2:12" ht="15.75">
      <c r="B9" s="545" t="s">
        <v>33</v>
      </c>
      <c r="C9" s="546"/>
      <c r="D9" s="547">
        <f>SUM(D7:D8)</f>
        <v>8214526.4921599999</v>
      </c>
      <c r="E9" s="347"/>
      <c r="I9" s="545" t="s">
        <v>33</v>
      </c>
      <c r="J9" s="546"/>
      <c r="K9" s="547">
        <f>SUM(K7:K8)</f>
        <v>9151159.8953300007</v>
      </c>
      <c r="L9" s="347"/>
    </row>
  </sheetData>
  <sheetProtection algorithmName="SHA-512" hashValue="FkWePXspCnbfD3XhkRgSiZ17fxM7XmBKgIYgGAV+cRURlofejrHDmYT116aQGphGMK9EZ5IkedNTNJJQiGBEzA==" saltValue="/hSXqEb9FJw38G5GMfFSjQ==" spinCount="100000" sheet="1" objects="1" scenarios="1" selectLockedCells="1" selectUnlockedCells="1"/>
  <mergeCells count="14">
    <mergeCell ref="B6:E6"/>
    <mergeCell ref="D9:E9"/>
    <mergeCell ref="B9:C9"/>
    <mergeCell ref="D8:E8"/>
    <mergeCell ref="B8:C8"/>
    <mergeCell ref="D7:E7"/>
    <mergeCell ref="B7:C7"/>
    <mergeCell ref="I9:J9"/>
    <mergeCell ref="K9:L9"/>
    <mergeCell ref="I6:L6"/>
    <mergeCell ref="I7:J7"/>
    <mergeCell ref="K7:L7"/>
    <mergeCell ref="I8:J8"/>
    <mergeCell ref="K8:L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showGridLines="0" zoomScaleNormal="100" workbookViewId="0">
      <selection activeCell="E19" sqref="A1:XFD1048576"/>
    </sheetView>
  </sheetViews>
  <sheetFormatPr baseColWidth="10" defaultColWidth="11.109375" defaultRowHeight="15"/>
  <cols>
    <col min="1" max="1" width="5.6640625" style="242" customWidth="1"/>
    <col min="2" max="2" width="14.6640625" style="242" customWidth="1"/>
    <col min="3" max="3" width="43.88671875" style="242" customWidth="1"/>
    <col min="4" max="4" width="16.21875" style="242" customWidth="1"/>
    <col min="5" max="5" width="13.6640625" style="248" customWidth="1"/>
    <col min="6" max="6" width="13.6640625" style="242" customWidth="1"/>
    <col min="7" max="7" width="14.6640625" style="242" customWidth="1"/>
    <col min="8" max="8" width="43.88671875" style="242" customWidth="1"/>
    <col min="9" max="9" width="16.21875" style="242" customWidth="1"/>
    <col min="10" max="10" width="13.44140625" style="242" customWidth="1"/>
    <col min="11" max="11" width="11.109375" style="242"/>
    <col min="12" max="12" width="11.88671875" style="242" bestFit="1" customWidth="1"/>
    <col min="13" max="16384" width="11.109375" style="242"/>
  </cols>
  <sheetData>
    <row r="1" spans="2:9">
      <c r="E1" s="242"/>
    </row>
    <row r="2" spans="2:9" ht="26.25">
      <c r="B2" s="244" t="s">
        <v>9</v>
      </c>
      <c r="E2" s="242"/>
    </row>
    <row r="3" spans="2:9" ht="15.95" customHeight="1">
      <c r="C3" s="245"/>
      <c r="E3" s="242"/>
    </row>
    <row r="4" spans="2:9" ht="15.95" customHeight="1">
      <c r="B4" s="246" t="s">
        <v>186</v>
      </c>
      <c r="G4" s="246" t="s">
        <v>185</v>
      </c>
    </row>
    <row r="5" spans="2:9" ht="15.95" customHeight="1">
      <c r="C5" s="245"/>
    </row>
    <row r="6" spans="2:9" ht="16.5" thickBot="1">
      <c r="B6" s="313" t="s">
        <v>58</v>
      </c>
      <c r="C6" s="559" t="s">
        <v>57</v>
      </c>
      <c r="D6" s="560"/>
      <c r="E6" s="314"/>
      <c r="G6" s="313" t="s">
        <v>58</v>
      </c>
      <c r="H6" s="559" t="s">
        <v>57</v>
      </c>
      <c r="I6" s="560"/>
    </row>
    <row r="7" spans="2:9" ht="15.95" customHeight="1">
      <c r="B7" s="562" t="s">
        <v>60</v>
      </c>
      <c r="C7" s="315" t="s">
        <v>65</v>
      </c>
      <c r="D7" s="316">
        <f>SUM(D8:D9)</f>
        <v>32679.999999999996</v>
      </c>
      <c r="E7" s="314"/>
      <c r="G7" s="562" t="s">
        <v>60</v>
      </c>
      <c r="H7" s="315" t="s">
        <v>65</v>
      </c>
      <c r="I7" s="316">
        <f>SUM(I8:I9)</f>
        <v>40033</v>
      </c>
    </row>
    <row r="8" spans="2:9" ht="15.95" customHeight="1">
      <c r="B8" s="563"/>
      <c r="C8" s="317" t="s">
        <v>145</v>
      </c>
      <c r="D8" s="318">
        <f>Prozessberechnung!G82-Prozessberechnung!I82</f>
        <v>27359.999999999996</v>
      </c>
      <c r="E8" s="314"/>
      <c r="G8" s="563"/>
      <c r="H8" s="317" t="s">
        <v>145</v>
      </c>
      <c r="I8" s="318">
        <f>Prozessberechnung!W82-Prozessberechnung!Y82</f>
        <v>33516</v>
      </c>
    </row>
    <row r="9" spans="2:9" ht="15.75" thickBot="1">
      <c r="B9" s="563"/>
      <c r="C9" s="319" t="s">
        <v>116</v>
      </c>
      <c r="D9" s="320">
        <f>Prozessberechnung!G83-Prozessberechnung!I83</f>
        <v>5320.0000000000009</v>
      </c>
      <c r="E9" s="314"/>
      <c r="G9" s="563"/>
      <c r="H9" s="319" t="s">
        <v>116</v>
      </c>
      <c r="I9" s="320">
        <f>Prozessberechnung!W83-Prozessberechnung!Y83</f>
        <v>6517</v>
      </c>
    </row>
    <row r="10" spans="2:9" ht="15.95" customHeight="1">
      <c r="B10" s="563"/>
      <c r="C10" s="321" t="s">
        <v>59</v>
      </c>
      <c r="D10" s="322">
        <f>SUM(D11:D12)</f>
        <v>23940.000000000004</v>
      </c>
      <c r="E10" s="314"/>
      <c r="G10" s="563"/>
      <c r="H10" s="321" t="s">
        <v>59</v>
      </c>
      <c r="I10" s="322">
        <f>SUM(I11:I12)</f>
        <v>29326.5</v>
      </c>
    </row>
    <row r="11" spans="2:9" ht="15.95" customHeight="1">
      <c r="B11" s="563"/>
      <c r="C11" s="317" t="s">
        <v>146</v>
      </c>
      <c r="D11" s="323">
        <f>D8*Prozessberechnung!G22</f>
        <v>0</v>
      </c>
      <c r="E11" s="314"/>
      <c r="G11" s="563"/>
      <c r="H11" s="317" t="s">
        <v>146</v>
      </c>
      <c r="I11" s="323">
        <f>I8*Prozessberechnung!L22</f>
        <v>0</v>
      </c>
    </row>
    <row r="12" spans="2:9" ht="15.75" thickBot="1">
      <c r="B12" s="564"/>
      <c r="C12" s="319" t="s">
        <v>121</v>
      </c>
      <c r="D12" s="320">
        <f>D9*Prozessberechnung!G23</f>
        <v>23940.000000000004</v>
      </c>
      <c r="E12" s="324"/>
      <c r="G12" s="564"/>
      <c r="H12" s="319" t="s">
        <v>121</v>
      </c>
      <c r="I12" s="320">
        <f>I9*Prozessberechnung!W23</f>
        <v>29326.5</v>
      </c>
    </row>
    <row r="13" spans="2:9" ht="15.95" customHeight="1">
      <c r="B13" s="562" t="s">
        <v>61</v>
      </c>
      <c r="C13" s="315" t="s">
        <v>63</v>
      </c>
      <c r="D13" s="322">
        <f>SUM(D14:D17)</f>
        <v>89.139200000000017</v>
      </c>
      <c r="E13" s="314"/>
      <c r="F13" s="325"/>
      <c r="G13" s="562" t="s">
        <v>61</v>
      </c>
      <c r="H13" s="315" t="s">
        <v>63</v>
      </c>
      <c r="I13" s="322">
        <f>SUM(I14:I17)</f>
        <v>150.28334999999998</v>
      </c>
    </row>
    <row r="14" spans="2:9" ht="15.95" customHeight="1">
      <c r="B14" s="563"/>
      <c r="C14" s="326" t="s">
        <v>117</v>
      </c>
      <c r="D14" s="327">
        <f>Prozessberechnung!M89</f>
        <v>81.920000000000016</v>
      </c>
      <c r="E14" s="314"/>
      <c r="F14" s="325"/>
      <c r="G14" s="563"/>
      <c r="H14" s="326" t="s">
        <v>117</v>
      </c>
      <c r="I14" s="327">
        <f>Prozessberechnung!AC89</f>
        <v>138.51</v>
      </c>
    </row>
    <row r="15" spans="2:9" ht="15.95" customHeight="1">
      <c r="B15" s="563"/>
      <c r="C15" s="326" t="s">
        <v>118</v>
      </c>
      <c r="D15" s="328">
        <f>Prozessberechnung!M94</f>
        <v>4.0960000000000019</v>
      </c>
      <c r="E15" s="314"/>
      <c r="F15" s="325"/>
      <c r="G15" s="563"/>
      <c r="H15" s="326" t="s">
        <v>118</v>
      </c>
      <c r="I15" s="327">
        <f>Prozessberechnung!AC94</f>
        <v>6.9255000000000004</v>
      </c>
    </row>
    <row r="16" spans="2:9" ht="15.95" customHeight="1">
      <c r="B16" s="563"/>
      <c r="C16" s="326" t="s">
        <v>119</v>
      </c>
      <c r="D16" s="327">
        <f>Prozessberechnung!M95</f>
        <v>2.3040000000000007</v>
      </c>
      <c r="E16" s="314"/>
      <c r="F16" s="325"/>
      <c r="G16" s="563"/>
      <c r="H16" s="326" t="s">
        <v>119</v>
      </c>
      <c r="I16" s="327">
        <f>Prozessberechnung!AC95</f>
        <v>3.4627500000000002</v>
      </c>
    </row>
    <row r="17" spans="2:9" ht="15.75" thickBot="1">
      <c r="B17" s="563"/>
      <c r="C17" s="329" t="s">
        <v>120</v>
      </c>
      <c r="D17" s="320">
        <f>Prozessberechnung!M96</f>
        <v>0.81920000000000037</v>
      </c>
      <c r="E17" s="314"/>
      <c r="F17" s="325"/>
      <c r="G17" s="563"/>
      <c r="H17" s="329" t="s">
        <v>120</v>
      </c>
      <c r="I17" s="320">
        <f>Prozessberechnung!AC96</f>
        <v>1.3851000000000004</v>
      </c>
    </row>
    <row r="18" spans="2:9" ht="15.95" customHeight="1">
      <c r="B18" s="563"/>
      <c r="C18" s="330" t="s">
        <v>64</v>
      </c>
      <c r="D18" s="318">
        <f>SUM(D19:D22)</f>
        <v>563937.28000000014</v>
      </c>
      <c r="E18" s="314"/>
      <c r="F18" s="325"/>
      <c r="G18" s="563"/>
      <c r="H18" s="330" t="s">
        <v>64</v>
      </c>
      <c r="I18" s="318">
        <f>SUM(I19:I22)</f>
        <v>936189.09</v>
      </c>
    </row>
    <row r="19" spans="2:9" ht="15.95" customHeight="1">
      <c r="B19" s="563"/>
      <c r="C19" s="331" t="s">
        <v>112</v>
      </c>
      <c r="D19" s="332">
        <f>D14*Prozessberechnung!G29</f>
        <v>450560.00000000012</v>
      </c>
      <c r="E19" s="314"/>
      <c r="F19" s="325"/>
      <c r="G19" s="563"/>
      <c r="H19" s="331" t="s">
        <v>112</v>
      </c>
      <c r="I19" s="332">
        <f>I14*Prozessberechnung!W29</f>
        <v>761805</v>
      </c>
    </row>
    <row r="20" spans="2:9" ht="15.95" customHeight="1">
      <c r="B20" s="563"/>
      <c r="C20" s="331" t="s">
        <v>113</v>
      </c>
      <c r="D20" s="332">
        <f>D15*Prozessberechnung!G34</f>
        <v>13025.280000000006</v>
      </c>
      <c r="E20" s="314"/>
      <c r="F20" s="325"/>
      <c r="G20" s="563"/>
      <c r="H20" s="331" t="s">
        <v>113</v>
      </c>
      <c r="I20" s="332">
        <f>I15*Prozessberechnung!W34</f>
        <v>22023.09</v>
      </c>
    </row>
    <row r="21" spans="2:9" ht="15.95" customHeight="1">
      <c r="B21" s="563"/>
      <c r="C21" s="331" t="s">
        <v>114</v>
      </c>
      <c r="D21" s="332">
        <f>D16*Prozessberechnung!G35</f>
        <v>92160.000000000029</v>
      </c>
      <c r="E21" s="314"/>
      <c r="F21" s="325"/>
      <c r="G21" s="563"/>
      <c r="H21" s="331" t="s">
        <v>114</v>
      </c>
      <c r="I21" s="332">
        <f>I16*Prozessberechnung!W35</f>
        <v>138510</v>
      </c>
    </row>
    <row r="22" spans="2:9" ht="15.75" thickBot="1">
      <c r="B22" s="564"/>
      <c r="C22" s="329" t="s">
        <v>115</v>
      </c>
      <c r="D22" s="320">
        <f>D17*Prozessberechnung!G36</f>
        <v>8192.0000000000036</v>
      </c>
      <c r="E22" s="314"/>
      <c r="F22" s="325"/>
      <c r="G22" s="564"/>
      <c r="H22" s="329" t="s">
        <v>115</v>
      </c>
      <c r="I22" s="320">
        <f>I17*Prozessberechnung!W36</f>
        <v>13851.000000000004</v>
      </c>
    </row>
    <row r="23" spans="2:9" ht="15.95" customHeight="1">
      <c r="B23" s="333"/>
      <c r="C23" s="334" t="s">
        <v>169</v>
      </c>
      <c r="D23" s="335">
        <f>D10+D18</f>
        <v>587877.28000000014</v>
      </c>
      <c r="E23" s="314"/>
      <c r="G23" s="333"/>
      <c r="H23" s="334" t="s">
        <v>169</v>
      </c>
      <c r="I23" s="335">
        <f>I10+I18</f>
        <v>965515.59</v>
      </c>
    </row>
    <row r="24" spans="2:9" ht="15.95" customHeight="1">
      <c r="B24" s="333"/>
      <c r="C24" s="334" t="s">
        <v>170</v>
      </c>
      <c r="D24" s="335">
        <f>D23*Annahmen!F16</f>
        <v>5878772.8000000017</v>
      </c>
      <c r="E24" s="314"/>
      <c r="G24" s="333"/>
      <c r="H24" s="334" t="s">
        <v>170</v>
      </c>
      <c r="I24" s="335">
        <f>I23*Annahmen!F16</f>
        <v>9655155.9000000004</v>
      </c>
    </row>
    <row r="25" spans="2:9" ht="15.95" customHeight="1">
      <c r="C25" s="245"/>
    </row>
    <row r="26" spans="2:9" ht="15.95" customHeight="1">
      <c r="C26" s="292"/>
      <c r="D26" s="247"/>
    </row>
    <row r="27" spans="2:9" ht="18">
      <c r="C27" s="292"/>
      <c r="D27" s="247"/>
    </row>
    <row r="28" spans="2:9" ht="15.75">
      <c r="C28" s="561"/>
      <c r="D28" s="561"/>
    </row>
    <row r="29" spans="2:9">
      <c r="C29" s="268"/>
      <c r="D29" s="271"/>
    </row>
    <row r="30" spans="2:9">
      <c r="C30" s="273"/>
      <c r="D30" s="271"/>
    </row>
    <row r="31" spans="2:9" ht="15.75">
      <c r="C31" s="336"/>
      <c r="D31" s="337"/>
    </row>
    <row r="32" spans="2:9">
      <c r="C32" s="247"/>
      <c r="D32" s="247"/>
    </row>
  </sheetData>
  <sheetProtection algorithmName="SHA-512" hashValue="9lkdHIwk2sH+tA+gvvQbN2sz31sDlYk8Tqun+mCtNjiPNZRzIUO3/Ad7QpAuDk+rF6JcqIZJB+7rSaJFFRN+/A==" saltValue="zbZoSyVGM7QMrp4HSE8/2A==" spinCount="100000" sheet="1" objects="1" scenarios="1" selectLockedCells="1" selectUnlockedCells="1"/>
  <mergeCells count="7">
    <mergeCell ref="C6:D6"/>
    <mergeCell ref="C28:D28"/>
    <mergeCell ref="B7:B12"/>
    <mergeCell ref="B13:B22"/>
    <mergeCell ref="H6:I6"/>
    <mergeCell ref="G7:G12"/>
    <mergeCell ref="G13:G22"/>
  </mergeCells>
  <phoneticPr fontId="5" type="noConversion"/>
  <pageMargins left="0.25" right="0.25" top="0.75" bottom="0.75" header="0.3" footer="0.3"/>
  <pageSetup paperSize="9" scale="51" orientation="portrait" r:id="rId1"/>
  <colBreaks count="1" manualBreakCount="1">
    <brk id="1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showGridLines="0" zoomScaleNormal="100" workbookViewId="0">
      <selection activeCell="F19" sqref="A1:XFD1048576"/>
    </sheetView>
  </sheetViews>
  <sheetFormatPr baseColWidth="10" defaultColWidth="11.109375" defaultRowHeight="15"/>
  <cols>
    <col min="1" max="1" width="5.6640625" style="242" customWidth="1"/>
    <col min="2" max="2" width="31.77734375" style="242" customWidth="1"/>
    <col min="3" max="3" width="13.6640625" style="242" customWidth="1"/>
    <col min="4" max="4" width="13.6640625" style="247" customWidth="1"/>
    <col min="5" max="5" width="13.6640625" style="242" customWidth="1"/>
    <col min="6" max="6" width="13.5546875" style="242" customWidth="1"/>
    <col min="7" max="7" width="11.109375" style="248"/>
    <col min="8" max="8" width="11.88671875" style="242" bestFit="1" customWidth="1"/>
    <col min="9" max="9" width="31.77734375" style="242" customWidth="1"/>
    <col min="10" max="12" width="13.6640625" style="242" customWidth="1"/>
    <col min="13" max="13" width="13.5546875" style="242" customWidth="1"/>
    <col min="14" max="16384" width="11.109375" style="242"/>
  </cols>
  <sheetData>
    <row r="1" spans="2:13">
      <c r="D1" s="243"/>
      <c r="G1" s="242"/>
    </row>
    <row r="2" spans="2:13" ht="26.25">
      <c r="B2" s="244" t="s">
        <v>230</v>
      </c>
      <c r="D2" s="243"/>
      <c r="G2" s="242"/>
    </row>
    <row r="3" spans="2:13" ht="15.95" customHeight="1">
      <c r="C3" s="245"/>
      <c r="D3" s="243"/>
      <c r="G3" s="242"/>
    </row>
    <row r="4" spans="2:13" ht="15.95" customHeight="1">
      <c r="B4" s="246" t="s">
        <v>186</v>
      </c>
      <c r="I4" s="246" t="s">
        <v>185</v>
      </c>
    </row>
    <row r="5" spans="2:13" ht="15.95" customHeight="1">
      <c r="C5" s="245"/>
    </row>
    <row r="6" spans="2:13" ht="15.95" customHeight="1">
      <c r="B6" s="245" t="s">
        <v>234</v>
      </c>
      <c r="C6" s="245"/>
      <c r="I6" s="245" t="s">
        <v>234</v>
      </c>
      <c r="J6" s="245"/>
      <c r="K6" s="247"/>
    </row>
    <row r="7" spans="2:13" ht="15.95" customHeight="1">
      <c r="C7" s="245"/>
      <c r="J7" s="245"/>
      <c r="K7" s="247"/>
    </row>
    <row r="8" spans="2:13" ht="47.1" customHeight="1" thickBot="1">
      <c r="B8" s="249" t="s">
        <v>13</v>
      </c>
      <c r="C8" s="250" t="s">
        <v>38</v>
      </c>
      <c r="D8" s="250" t="s">
        <v>81</v>
      </c>
      <c r="E8" s="250" t="s">
        <v>40</v>
      </c>
      <c r="F8" s="250" t="s">
        <v>232</v>
      </c>
      <c r="I8" s="249" t="s">
        <v>13</v>
      </c>
      <c r="J8" s="250" t="s">
        <v>38</v>
      </c>
      <c r="K8" s="250" t="s">
        <v>81</v>
      </c>
      <c r="L8" s="250" t="s">
        <v>40</v>
      </c>
      <c r="M8" s="250" t="s">
        <v>232</v>
      </c>
    </row>
    <row r="9" spans="2:13" ht="15.95" customHeight="1">
      <c r="B9" s="251" t="s">
        <v>16</v>
      </c>
      <c r="C9" s="252">
        <f>Annahmen!F32</f>
        <v>0.9</v>
      </c>
      <c r="D9" s="253">
        <f>Annahmen!F46</f>
        <v>20</v>
      </c>
      <c r="E9" s="254">
        <f>'Betriebs- &amp; Wartungskosten'!G28</f>
        <v>2500</v>
      </c>
      <c r="F9" s="255">
        <f>D9*E9/C9</f>
        <v>55555.555555555555</v>
      </c>
      <c r="I9" s="251" t="s">
        <v>189</v>
      </c>
      <c r="J9" s="252">
        <f>Annahmen!F33</f>
        <v>0.9</v>
      </c>
      <c r="K9" s="253">
        <f>Annahmen!F47</f>
        <v>20</v>
      </c>
      <c r="L9" s="254">
        <f>'Betriebs- &amp; Wartungskosten'!Q28</f>
        <v>5000</v>
      </c>
      <c r="M9" s="255">
        <f>K9*L9/J9</f>
        <v>111111.11111111111</v>
      </c>
    </row>
    <row r="10" spans="2:13" ht="15.95" customHeight="1">
      <c r="B10" s="256" t="s">
        <v>46</v>
      </c>
      <c r="C10" s="257">
        <f>Annahmen!F34</f>
        <v>0.9</v>
      </c>
      <c r="D10" s="258">
        <f>Annahmen!F48</f>
        <v>20</v>
      </c>
      <c r="E10" s="259">
        <f>'Betriebs- &amp; Wartungskosten'!G29</f>
        <v>3983.7599999999998</v>
      </c>
      <c r="F10" s="260">
        <f t="shared" ref="F10:F13" si="0">D10*E10/C10</f>
        <v>88528</v>
      </c>
      <c r="I10" s="256" t="s">
        <v>46</v>
      </c>
      <c r="J10" s="257">
        <f>Annahmen!F34</f>
        <v>0.9</v>
      </c>
      <c r="K10" s="258">
        <f>Annahmen!F48</f>
        <v>20</v>
      </c>
      <c r="L10" s="259">
        <f>'Betriebs- &amp; Wartungskosten'!Q29</f>
        <v>4730.7149999999992</v>
      </c>
      <c r="M10" s="260">
        <f t="shared" ref="M10:M13" si="1">K10*L10/J10</f>
        <v>105126.99999999999</v>
      </c>
    </row>
    <row r="11" spans="2:13">
      <c r="B11" s="256" t="s">
        <v>80</v>
      </c>
      <c r="C11" s="257">
        <f>Annahmen!F35</f>
        <v>0.9</v>
      </c>
      <c r="D11" s="258">
        <f>Annahmen!F49</f>
        <v>20</v>
      </c>
      <c r="E11" s="259">
        <f>'Betriebs- &amp; Wartungskosten'!G30</f>
        <v>2122.0800000000013</v>
      </c>
      <c r="F11" s="260">
        <f t="shared" si="0"/>
        <v>47157.333333333365</v>
      </c>
      <c r="I11" s="256" t="s">
        <v>80</v>
      </c>
      <c r="J11" s="257">
        <f>Annahmen!F35</f>
        <v>0.9</v>
      </c>
      <c r="K11" s="258">
        <f>Annahmen!F49</f>
        <v>20</v>
      </c>
      <c r="L11" s="259">
        <f>'Betriebs- &amp; Wartungskosten'!Q30</f>
        <v>1127.5550000000003</v>
      </c>
      <c r="M11" s="260">
        <f t="shared" si="1"/>
        <v>25056.777777777785</v>
      </c>
    </row>
    <row r="12" spans="2:13" ht="15.95" customHeight="1">
      <c r="B12" s="256" t="s">
        <v>47</v>
      </c>
      <c r="C12" s="257">
        <f>Annahmen!F36</f>
        <v>0.9</v>
      </c>
      <c r="D12" s="258">
        <f>Annahmen!F50</f>
        <v>20</v>
      </c>
      <c r="E12" s="259">
        <f>'Betriebs- &amp; Wartungskosten'!G31</f>
        <v>421.16799999999995</v>
      </c>
      <c r="F12" s="260">
        <f t="shared" si="0"/>
        <v>9359.2888888888865</v>
      </c>
      <c r="I12" s="256" t="s">
        <v>47</v>
      </c>
      <c r="J12" s="257">
        <f>Annahmen!F36</f>
        <v>0.9</v>
      </c>
      <c r="K12" s="258">
        <f>Annahmen!F50</f>
        <v>20</v>
      </c>
      <c r="L12" s="259">
        <f>'Betriebs- &amp; Wartungskosten'!Q31</f>
        <v>371.64380000000006</v>
      </c>
      <c r="M12" s="260">
        <f t="shared" si="1"/>
        <v>8258.7511111111126</v>
      </c>
    </row>
    <row r="13" spans="2:13" ht="15.75" thickBot="1">
      <c r="B13" s="261" t="s">
        <v>56</v>
      </c>
      <c r="C13" s="262">
        <f>Annahmen!F37</f>
        <v>0.9</v>
      </c>
      <c r="D13" s="263">
        <f>Annahmen!F51</f>
        <v>10</v>
      </c>
      <c r="E13" s="264">
        <f>'Betriebs- &amp; Wartungskosten'!G32</f>
        <v>2500</v>
      </c>
      <c r="F13" s="265">
        <f t="shared" si="0"/>
        <v>27777.777777777777</v>
      </c>
      <c r="I13" s="261" t="s">
        <v>56</v>
      </c>
      <c r="J13" s="262">
        <f>Annahmen!F37</f>
        <v>0.9</v>
      </c>
      <c r="K13" s="263">
        <f>Annahmen!F51</f>
        <v>10</v>
      </c>
      <c r="L13" s="264">
        <f>'Betriebs- &amp; Wartungskosten'!Q32</f>
        <v>2500</v>
      </c>
      <c r="M13" s="265">
        <f t="shared" si="1"/>
        <v>27777.777777777777</v>
      </c>
    </row>
    <row r="14" spans="2:13" ht="15.95" customHeight="1">
      <c r="B14" s="566" t="s">
        <v>231</v>
      </c>
      <c r="C14" s="567"/>
      <c r="D14" s="567"/>
      <c r="E14" s="266"/>
      <c r="F14" s="267">
        <f>SUM(F9:F13)</f>
        <v>228377.95555555561</v>
      </c>
      <c r="I14" s="566" t="s">
        <v>231</v>
      </c>
      <c r="J14" s="567"/>
      <c r="K14" s="567"/>
      <c r="L14" s="266"/>
      <c r="M14" s="267">
        <f>SUM(M9:M13)</f>
        <v>277331.41777777777</v>
      </c>
    </row>
    <row r="15" spans="2:13" ht="15.95" customHeight="1">
      <c r="B15" s="568" t="s">
        <v>233</v>
      </c>
      <c r="C15" s="569"/>
      <c r="D15" s="266"/>
      <c r="E15" s="266"/>
      <c r="F15" s="267">
        <f>F14*Annahmen!F16</f>
        <v>2283779.555555556</v>
      </c>
      <c r="I15" s="568" t="s">
        <v>233</v>
      </c>
      <c r="J15" s="569"/>
      <c r="K15" s="266"/>
      <c r="L15" s="266"/>
      <c r="M15" s="267">
        <f>M14*Annahmen!F16</f>
        <v>2773314.1777777774</v>
      </c>
    </row>
    <row r="16" spans="2:13" ht="15.95" customHeight="1">
      <c r="B16" s="268"/>
      <c r="C16" s="269"/>
      <c r="D16" s="270"/>
      <c r="E16" s="268"/>
      <c r="F16" s="271"/>
      <c r="I16" s="268"/>
      <c r="J16" s="269"/>
      <c r="K16" s="270"/>
      <c r="L16" s="268"/>
      <c r="M16" s="271"/>
    </row>
    <row r="17" spans="2:13" ht="15.95" customHeight="1">
      <c r="B17" s="268"/>
      <c r="C17" s="269"/>
      <c r="D17" s="270"/>
      <c r="E17" s="268"/>
      <c r="F17" s="271"/>
      <c r="I17" s="268"/>
      <c r="J17" s="269"/>
      <c r="K17" s="270"/>
      <c r="L17" s="268"/>
      <c r="M17" s="271"/>
    </row>
    <row r="18" spans="2:13" ht="18">
      <c r="B18" s="272" t="s">
        <v>237</v>
      </c>
      <c r="C18" s="269"/>
      <c r="D18" s="270"/>
      <c r="E18" s="268"/>
      <c r="F18" s="271"/>
      <c r="I18" s="272" t="s">
        <v>237</v>
      </c>
      <c r="J18" s="269"/>
      <c r="K18" s="270"/>
      <c r="L18" s="268"/>
      <c r="M18" s="271"/>
    </row>
    <row r="19" spans="2:13" ht="15.95" customHeight="1">
      <c r="B19" s="268"/>
      <c r="C19" s="273"/>
      <c r="D19" s="270"/>
      <c r="E19" s="268"/>
      <c r="F19" s="274"/>
      <c r="I19" s="268"/>
      <c r="J19" s="273"/>
      <c r="K19" s="270"/>
      <c r="L19" s="268"/>
      <c r="M19" s="274"/>
    </row>
    <row r="20" spans="2:13" ht="47.45" customHeight="1" thickBot="1">
      <c r="B20" s="249" t="s">
        <v>101</v>
      </c>
      <c r="C20" s="250" t="s">
        <v>143</v>
      </c>
      <c r="D20" s="250" t="s">
        <v>102</v>
      </c>
      <c r="E20" s="275"/>
      <c r="F20" s="275"/>
      <c r="I20" s="249" t="s">
        <v>101</v>
      </c>
      <c r="J20" s="250" t="s">
        <v>143</v>
      </c>
      <c r="K20" s="250" t="s">
        <v>102</v>
      </c>
      <c r="L20" s="275"/>
      <c r="M20" s="275"/>
    </row>
    <row r="21" spans="2:13" ht="15.95" customHeight="1">
      <c r="B21" s="276" t="s">
        <v>16</v>
      </c>
      <c r="C21" s="570">
        <f>Annahmen!F10</f>
        <v>0.5</v>
      </c>
      <c r="D21" s="277">
        <f>F9*$C$21/1000</f>
        <v>27.777777777777779</v>
      </c>
      <c r="E21" s="565"/>
      <c r="F21" s="278"/>
      <c r="I21" s="276" t="s">
        <v>189</v>
      </c>
      <c r="J21" s="570">
        <f>Annahmen!F10</f>
        <v>0.5</v>
      </c>
      <c r="K21" s="277">
        <f>M9*$C$21/1000</f>
        <v>55.555555555555557</v>
      </c>
      <c r="L21" s="565"/>
      <c r="M21" s="278"/>
    </row>
    <row r="22" spans="2:13" ht="15.95" customHeight="1">
      <c r="B22" s="256" t="s">
        <v>46</v>
      </c>
      <c r="C22" s="571"/>
      <c r="D22" s="279">
        <f t="shared" ref="D22:D25" si="2">F10*$C$21/1000</f>
        <v>44.264000000000003</v>
      </c>
      <c r="E22" s="565"/>
      <c r="F22" s="278"/>
      <c r="I22" s="256" t="s">
        <v>46</v>
      </c>
      <c r="J22" s="571"/>
      <c r="K22" s="279">
        <f t="shared" ref="K22:K25" si="3">M10*$C$21/1000</f>
        <v>52.563499999999991</v>
      </c>
      <c r="L22" s="565"/>
      <c r="M22" s="278"/>
    </row>
    <row r="23" spans="2:13">
      <c r="B23" s="256" t="s">
        <v>80</v>
      </c>
      <c r="C23" s="571"/>
      <c r="D23" s="279">
        <f t="shared" si="2"/>
        <v>23.578666666666681</v>
      </c>
      <c r="E23" s="565"/>
      <c r="F23" s="278"/>
      <c r="I23" s="256" t="s">
        <v>80</v>
      </c>
      <c r="J23" s="571"/>
      <c r="K23" s="279">
        <f t="shared" si="3"/>
        <v>12.528388888888893</v>
      </c>
      <c r="L23" s="565"/>
      <c r="M23" s="278"/>
    </row>
    <row r="24" spans="2:13" ht="15.95" customHeight="1">
      <c r="B24" s="256" t="s">
        <v>47</v>
      </c>
      <c r="C24" s="571"/>
      <c r="D24" s="279">
        <f t="shared" si="2"/>
        <v>4.6796444444444436</v>
      </c>
      <c r="E24" s="565"/>
      <c r="F24" s="278"/>
      <c r="I24" s="256" t="s">
        <v>47</v>
      </c>
      <c r="J24" s="571"/>
      <c r="K24" s="279">
        <f t="shared" si="3"/>
        <v>4.1293755555555567</v>
      </c>
      <c r="L24" s="565"/>
      <c r="M24" s="278"/>
    </row>
    <row r="25" spans="2:13" ht="15.75" thickBot="1">
      <c r="B25" s="280" t="s">
        <v>56</v>
      </c>
      <c r="C25" s="572"/>
      <c r="D25" s="281">
        <f t="shared" si="2"/>
        <v>13.888888888888889</v>
      </c>
      <c r="E25" s="565"/>
      <c r="F25" s="278"/>
      <c r="I25" s="280" t="s">
        <v>56</v>
      </c>
      <c r="J25" s="572"/>
      <c r="K25" s="281">
        <f t="shared" si="3"/>
        <v>13.888888888888889</v>
      </c>
      <c r="L25" s="565"/>
      <c r="M25" s="278"/>
    </row>
    <row r="26" spans="2:13" ht="15.75">
      <c r="B26" s="282" t="s">
        <v>235</v>
      </c>
      <c r="C26" s="283"/>
      <c r="D26" s="284">
        <f>SUM(D21:D25)</f>
        <v>114.18897777777779</v>
      </c>
      <c r="E26" s="285"/>
      <c r="F26" s="285"/>
      <c r="I26" s="286" t="s">
        <v>235</v>
      </c>
      <c r="J26" s="283"/>
      <c r="K26" s="287">
        <f>SUM(K21:K25)</f>
        <v>138.6657088888889</v>
      </c>
      <c r="L26" s="285"/>
      <c r="M26" s="285"/>
    </row>
    <row r="27" spans="2:13" ht="15.75">
      <c r="B27" s="288" t="s">
        <v>236</v>
      </c>
      <c r="C27" s="289"/>
      <c r="D27" s="290">
        <f>D26*Annahmen!F16</f>
        <v>1141.8897777777779</v>
      </c>
      <c r="E27" s="285"/>
      <c r="F27" s="285"/>
      <c r="I27" s="288" t="s">
        <v>236</v>
      </c>
      <c r="J27" s="289"/>
      <c r="K27" s="291">
        <f>K26*Annahmen!F16</f>
        <v>1386.6570888888891</v>
      </c>
      <c r="L27" s="285"/>
      <c r="M27" s="285"/>
    </row>
    <row r="28" spans="2:13" ht="18">
      <c r="C28" s="292"/>
      <c r="E28" s="247"/>
      <c r="F28" s="247"/>
    </row>
    <row r="29" spans="2:13" ht="15.75">
      <c r="C29" s="293"/>
      <c r="E29" s="247"/>
      <c r="F29" s="247"/>
    </row>
    <row r="30" spans="2:13" ht="18">
      <c r="B30" s="245" t="s">
        <v>241</v>
      </c>
      <c r="C30" s="245"/>
      <c r="I30" s="245" t="s">
        <v>241</v>
      </c>
      <c r="J30" s="245"/>
      <c r="K30" s="247"/>
    </row>
    <row r="31" spans="2:13" ht="18">
      <c r="C31" s="245"/>
      <c r="J31" s="245"/>
      <c r="K31" s="247"/>
    </row>
    <row r="32" spans="2:13" ht="48" thickBot="1">
      <c r="B32" s="294" t="s">
        <v>13</v>
      </c>
      <c r="C32" s="250" t="s">
        <v>239</v>
      </c>
      <c r="D32" s="250" t="s">
        <v>232</v>
      </c>
      <c r="E32" s="295" t="s">
        <v>240</v>
      </c>
      <c r="I32" s="249" t="s">
        <v>13</v>
      </c>
      <c r="J32" s="250" t="s">
        <v>239</v>
      </c>
      <c r="K32" s="250" t="s">
        <v>232</v>
      </c>
      <c r="L32" s="250" t="s">
        <v>240</v>
      </c>
    </row>
    <row r="33" spans="2:12">
      <c r="B33" s="296" t="s">
        <v>16</v>
      </c>
      <c r="C33" s="241">
        <f>Annahmen!F7</f>
        <v>50000</v>
      </c>
      <c r="D33" s="297">
        <f>F9</f>
        <v>55555.555555555555</v>
      </c>
      <c r="E33" s="298">
        <f>D33/C33</f>
        <v>1.1111111111111112</v>
      </c>
      <c r="I33" s="251" t="s">
        <v>189</v>
      </c>
      <c r="J33" s="241">
        <f>Annahmen!F7</f>
        <v>50000</v>
      </c>
      <c r="K33" s="297">
        <f>M9</f>
        <v>111111.11111111111</v>
      </c>
      <c r="L33" s="255">
        <f>K33/J33</f>
        <v>2.2222222222222223</v>
      </c>
    </row>
    <row r="34" spans="2:12">
      <c r="B34" s="299" t="s">
        <v>46</v>
      </c>
      <c r="C34" s="300">
        <f>Prozessberechnung!G$97</f>
        <v>39837.599999999999</v>
      </c>
      <c r="D34" s="301">
        <f t="shared" ref="D34:D37" si="4">F10</f>
        <v>88528</v>
      </c>
      <c r="E34" s="302">
        <f t="shared" ref="E34:E37" si="5">D34/C34</f>
        <v>2.2222222222222223</v>
      </c>
      <c r="I34" s="256" t="s">
        <v>46</v>
      </c>
      <c r="J34" s="300">
        <f>Prozessberechnung!W97</f>
        <v>47307.15</v>
      </c>
      <c r="K34" s="301">
        <f t="shared" ref="K34:K37" si="6">M10</f>
        <v>105126.99999999999</v>
      </c>
      <c r="L34" s="260">
        <f t="shared" ref="L34:L37" si="7">K34/J34</f>
        <v>2.2222222222222219</v>
      </c>
    </row>
    <row r="35" spans="2:12">
      <c r="B35" s="299" t="s">
        <v>80</v>
      </c>
      <c r="C35" s="300">
        <f>Prozessberechnung!I$97</f>
        <v>2122.08</v>
      </c>
      <c r="D35" s="301">
        <f t="shared" si="4"/>
        <v>47157.333333333365</v>
      </c>
      <c r="E35" s="302">
        <f t="shared" si="5"/>
        <v>22.222222222222239</v>
      </c>
      <c r="I35" s="256" t="s">
        <v>80</v>
      </c>
      <c r="J35" s="300">
        <f>Prozessberechnung!Y$97</f>
        <v>1127.5550000000001</v>
      </c>
      <c r="K35" s="301">
        <f t="shared" si="6"/>
        <v>25056.777777777785</v>
      </c>
      <c r="L35" s="260">
        <f t="shared" si="7"/>
        <v>22.222222222222229</v>
      </c>
    </row>
    <row r="36" spans="2:12">
      <c r="B36" s="299" t="s">
        <v>47</v>
      </c>
      <c r="C36" s="300">
        <f>Prozessberechnung!K$97</f>
        <v>210.584</v>
      </c>
      <c r="D36" s="301">
        <f t="shared" si="4"/>
        <v>9359.2888888888865</v>
      </c>
      <c r="E36" s="302">
        <f t="shared" si="5"/>
        <v>44.444444444444436</v>
      </c>
      <c r="I36" s="256" t="s">
        <v>47</v>
      </c>
      <c r="J36" s="300">
        <f>Prozessberechnung!AA$97</f>
        <v>185.8219</v>
      </c>
      <c r="K36" s="301">
        <f t="shared" si="6"/>
        <v>8258.7511111111126</v>
      </c>
      <c r="L36" s="260">
        <f t="shared" si="7"/>
        <v>44.44444444444445</v>
      </c>
    </row>
    <row r="37" spans="2:12" ht="15.75" thickBot="1">
      <c r="B37" s="303" t="s">
        <v>56</v>
      </c>
      <c r="C37" s="304">
        <f>MAX(C33:C36)</f>
        <v>50000</v>
      </c>
      <c r="D37" s="305">
        <f t="shared" si="4"/>
        <v>27777.777777777777</v>
      </c>
      <c r="E37" s="306">
        <f t="shared" si="5"/>
        <v>0.55555555555555558</v>
      </c>
      <c r="I37" s="261" t="s">
        <v>56</v>
      </c>
      <c r="J37" s="307">
        <f>MAX(J33:J36)</f>
        <v>50000</v>
      </c>
      <c r="K37" s="305">
        <f t="shared" si="6"/>
        <v>27777.777777777777</v>
      </c>
      <c r="L37" s="265">
        <f t="shared" si="7"/>
        <v>0.55555555555555558</v>
      </c>
    </row>
    <row r="38" spans="2:12" ht="15.75">
      <c r="B38" s="308" t="s">
        <v>126</v>
      </c>
      <c r="C38" s="309">
        <f>SUM(C33:C37)</f>
        <v>142170.26400000002</v>
      </c>
      <c r="D38" s="309">
        <f>SUM(D33:D37)</f>
        <v>228377.95555555561</v>
      </c>
      <c r="E38" s="267"/>
      <c r="I38" s="308" t="s">
        <v>126</v>
      </c>
      <c r="J38" s="310">
        <f>SUM(J33:J37)</f>
        <v>148620.5269</v>
      </c>
      <c r="K38" s="310">
        <f>SUM(K33:K37)</f>
        <v>277331.41777777777</v>
      </c>
      <c r="L38" s="267"/>
    </row>
    <row r="39" spans="2:12" ht="15.75">
      <c r="B39" s="311" t="s">
        <v>242</v>
      </c>
      <c r="C39" s="312"/>
      <c r="D39" s="312"/>
      <c r="E39" s="267">
        <f>D38/C38</f>
        <v>1.6063693569251274</v>
      </c>
      <c r="I39" s="311" t="s">
        <v>242</v>
      </c>
      <c r="J39" s="312"/>
      <c r="K39" s="312"/>
      <c r="L39" s="267">
        <f>K38/J38</f>
        <v>1.8660371051192779</v>
      </c>
    </row>
  </sheetData>
  <sheetProtection algorithmName="SHA-512" hashValue="81tBQdkrBYlwuPAoR5FZftMRDm1t50tIcViLo0mjjMIm5tkrmvUDVRBC4vGi8bypEdpkr+H45tEyGiLdEgSVCQ==" saltValue="eQ9/C72GojtkFJR2U8yOgA==" spinCount="100000" sheet="1" objects="1" scenarios="1" selectLockedCells="1" selectUnlockedCells="1"/>
  <mergeCells count="8">
    <mergeCell ref="L21:L25"/>
    <mergeCell ref="B14:D14"/>
    <mergeCell ref="B15:C15"/>
    <mergeCell ref="C21:C25"/>
    <mergeCell ref="E21:E25"/>
    <mergeCell ref="I14:K14"/>
    <mergeCell ref="I15:J15"/>
    <mergeCell ref="J21:J25"/>
  </mergeCells>
  <pageMargins left="0.25" right="0.25" top="0.75" bottom="0.75" header="0.3" footer="0.3"/>
  <pageSetup paperSize="9" scale="51" orientation="portrait" r:id="rId1"/>
  <colBreaks count="1" manualBreakCount="1">
    <brk id="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87C8EF3839C545AB193A847246D849" ma:contentTypeVersion="5" ma:contentTypeDescription="Ein neues Dokument erstellen." ma:contentTypeScope="" ma:versionID="440bbdf9417978b75e1a8d43eb8104a1">
  <xsd:schema xmlns:xsd="http://www.w3.org/2001/XMLSchema" xmlns:xs="http://www.w3.org/2001/XMLSchema" xmlns:p="http://schemas.microsoft.com/office/2006/metadata/properties" xmlns:ns2="a9e18f9b-30e6-49bc-b414-8476344b0b96" targetNamespace="http://schemas.microsoft.com/office/2006/metadata/properties" ma:root="true" ma:fieldsID="87a14cd68bb942d5bea2e171aca7d0f2" ns2:_="">
    <xsd:import namespace="a9e18f9b-30e6-49bc-b414-8476344b0b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e18f9b-30e6-49bc-b414-8476344b0b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2A9F1A-912A-47A0-83A5-5B291A3D1D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0C329C-B2DB-48C7-BE1F-ED15508E13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e18f9b-30e6-49bc-b414-8476344b0b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4EFAE4-0F25-4367-80AA-F553C49CEF3D}">
  <ds:schemaRefs>
    <ds:schemaRef ds:uri="http://schemas.openxmlformats.org/package/2006/metadata/core-properties"/>
    <ds:schemaRef ds:uri="http://schemas.microsoft.com/office/2006/documentManagement/types"/>
    <ds:schemaRef ds:uri="a9e18f9b-30e6-49bc-b414-8476344b0b96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Erklärung</vt:lpstr>
      <vt:lpstr>Gesamtgewinn</vt:lpstr>
      <vt:lpstr>Annahmen</vt:lpstr>
      <vt:lpstr>Prozessberechnung</vt:lpstr>
      <vt:lpstr>Investitionskosten</vt:lpstr>
      <vt:lpstr>Betriebs- &amp; Wartungskosten</vt:lpstr>
      <vt:lpstr>Gesamtkosten</vt:lpstr>
      <vt:lpstr>Einnahmen</vt:lpstr>
      <vt:lpstr>Ökologische Betrachtung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Kiesel</dc:creator>
  <cp:lastModifiedBy>Raphael Kiesel</cp:lastModifiedBy>
  <cp:lastPrinted>2016-04-28T23:38:55Z</cp:lastPrinted>
  <dcterms:created xsi:type="dcterms:W3CDTF">2016-04-10T14:50:24Z</dcterms:created>
  <dcterms:modified xsi:type="dcterms:W3CDTF">2020-05-23T12:45:19Z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0x0101000D87C8EF3839C545AB193A847246D849</vt:lpwstr>
  </property>
</Properties>
</file>